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40" windowWidth="36135" windowHeight="20115"/>
  </bookViews>
  <sheets>
    <sheet name="Statement of Activity by Month" sheetId="1" r:id="rId1"/>
  </sheets>
  <calcPr calcId="145621"/>
</workbook>
</file>

<file path=xl/calcChain.xml><?xml version="1.0" encoding="utf-8"?>
<calcChain xmlns="http://schemas.openxmlformats.org/spreadsheetml/2006/main">
  <c r="E68" i="1" l="1"/>
  <c r="D68" i="1"/>
  <c r="F67" i="1"/>
  <c r="E67" i="1"/>
  <c r="D67" i="1"/>
  <c r="C67" i="1"/>
  <c r="B67" i="1"/>
  <c r="G67" i="1" s="1"/>
  <c r="F66" i="1"/>
  <c r="E66" i="1"/>
  <c r="D66" i="1"/>
  <c r="C66" i="1"/>
  <c r="C68" i="1" s="1"/>
  <c r="B66" i="1"/>
  <c r="G66" i="1" s="1"/>
  <c r="F65" i="1"/>
  <c r="F68" i="1" s="1"/>
  <c r="E65" i="1"/>
  <c r="D65" i="1"/>
  <c r="C65" i="1"/>
  <c r="B65" i="1"/>
  <c r="F63" i="1"/>
  <c r="E63" i="1"/>
  <c r="D63" i="1"/>
  <c r="C63" i="1"/>
  <c r="B63" i="1"/>
  <c r="G63" i="1" s="1"/>
  <c r="F62" i="1"/>
  <c r="E62" i="1"/>
  <c r="D62" i="1"/>
  <c r="C62" i="1"/>
  <c r="B62" i="1"/>
  <c r="G62" i="1" s="1"/>
  <c r="F61" i="1"/>
  <c r="G61" i="1" s="1"/>
  <c r="E61" i="1"/>
  <c r="D61" i="1"/>
  <c r="C61" i="1"/>
  <c r="B61" i="1"/>
  <c r="F60" i="1"/>
  <c r="F64" i="1" s="1"/>
  <c r="E60" i="1"/>
  <c r="E64" i="1" s="1"/>
  <c r="D60" i="1"/>
  <c r="G60" i="1" s="1"/>
  <c r="C60" i="1"/>
  <c r="C64" i="1" s="1"/>
  <c r="B60" i="1"/>
  <c r="B64" i="1" s="1"/>
  <c r="F59" i="1"/>
  <c r="E59" i="1"/>
  <c r="D59" i="1"/>
  <c r="C59" i="1"/>
  <c r="B59" i="1"/>
  <c r="G59" i="1" s="1"/>
  <c r="F57" i="1"/>
  <c r="G57" i="1" s="1"/>
  <c r="E57" i="1"/>
  <c r="D57" i="1"/>
  <c r="C57" i="1"/>
  <c r="B57" i="1"/>
  <c r="F56" i="1"/>
  <c r="E56" i="1"/>
  <c r="D56" i="1"/>
  <c r="G56" i="1" s="1"/>
  <c r="C56" i="1"/>
  <c r="B56" i="1"/>
  <c r="F55" i="1"/>
  <c r="E55" i="1"/>
  <c r="D55" i="1"/>
  <c r="C55" i="1"/>
  <c r="B55" i="1"/>
  <c r="G55" i="1" s="1"/>
  <c r="F54" i="1"/>
  <c r="F58" i="1" s="1"/>
  <c r="E54" i="1"/>
  <c r="E58" i="1" s="1"/>
  <c r="D54" i="1"/>
  <c r="D58" i="1" s="1"/>
  <c r="C54" i="1"/>
  <c r="C58" i="1" s="1"/>
  <c r="B54" i="1"/>
  <c r="G54" i="1" s="1"/>
  <c r="F53" i="1"/>
  <c r="F52" i="1"/>
  <c r="E52" i="1"/>
  <c r="D52" i="1"/>
  <c r="G52" i="1" s="1"/>
  <c r="C52" i="1"/>
  <c r="B52" i="1"/>
  <c r="F51" i="1"/>
  <c r="E51" i="1"/>
  <c r="E53" i="1" s="1"/>
  <c r="D51" i="1"/>
  <c r="D53" i="1" s="1"/>
  <c r="C51" i="1"/>
  <c r="C53" i="1" s="1"/>
  <c r="B51" i="1"/>
  <c r="G51" i="1" s="1"/>
  <c r="F50" i="1"/>
  <c r="E50" i="1"/>
  <c r="D50" i="1"/>
  <c r="C50" i="1"/>
  <c r="B50" i="1"/>
  <c r="G50" i="1" s="1"/>
  <c r="F48" i="1"/>
  <c r="E48" i="1"/>
  <c r="D48" i="1"/>
  <c r="G48" i="1" s="1"/>
  <c r="C48" i="1"/>
  <c r="B48" i="1"/>
  <c r="F47" i="1"/>
  <c r="E47" i="1"/>
  <c r="D47" i="1"/>
  <c r="C47" i="1"/>
  <c r="B47" i="1"/>
  <c r="G47" i="1" s="1"/>
  <c r="F46" i="1"/>
  <c r="E46" i="1"/>
  <c r="D46" i="1"/>
  <c r="C46" i="1"/>
  <c r="B46" i="1"/>
  <c r="G46" i="1" s="1"/>
  <c r="F45" i="1"/>
  <c r="F49" i="1" s="1"/>
  <c r="E45" i="1"/>
  <c r="D45" i="1"/>
  <c r="C45" i="1"/>
  <c r="B45" i="1"/>
  <c r="F44" i="1"/>
  <c r="E44" i="1"/>
  <c r="D44" i="1"/>
  <c r="G44" i="1" s="1"/>
  <c r="C44" i="1"/>
  <c r="B44" i="1"/>
  <c r="F43" i="1"/>
  <c r="E43" i="1"/>
  <c r="E49" i="1" s="1"/>
  <c r="D43" i="1"/>
  <c r="D49" i="1" s="1"/>
  <c r="C43" i="1"/>
  <c r="C49" i="1" s="1"/>
  <c r="B43" i="1"/>
  <c r="G43" i="1" s="1"/>
  <c r="C42" i="1"/>
  <c r="B42" i="1"/>
  <c r="F41" i="1"/>
  <c r="G41" i="1" s="1"/>
  <c r="E41" i="1"/>
  <c r="D41" i="1"/>
  <c r="C41" i="1"/>
  <c r="B41" i="1"/>
  <c r="F40" i="1"/>
  <c r="F42" i="1" s="1"/>
  <c r="E40" i="1"/>
  <c r="E42" i="1" s="1"/>
  <c r="D40" i="1"/>
  <c r="D42" i="1" s="1"/>
  <c r="C40" i="1"/>
  <c r="B40" i="1"/>
  <c r="F39" i="1"/>
  <c r="E39" i="1"/>
  <c r="D39" i="1"/>
  <c r="C39" i="1"/>
  <c r="B39" i="1"/>
  <c r="G39" i="1" s="1"/>
  <c r="F37" i="1"/>
  <c r="G37" i="1" s="1"/>
  <c r="E37" i="1"/>
  <c r="D37" i="1"/>
  <c r="C37" i="1"/>
  <c r="B37" i="1"/>
  <c r="F36" i="1"/>
  <c r="F38" i="1" s="1"/>
  <c r="E36" i="1"/>
  <c r="D36" i="1"/>
  <c r="G36" i="1" s="1"/>
  <c r="C36" i="1"/>
  <c r="B36" i="1"/>
  <c r="F35" i="1"/>
  <c r="E35" i="1"/>
  <c r="E38" i="1" s="1"/>
  <c r="D35" i="1"/>
  <c r="D38" i="1" s="1"/>
  <c r="C35" i="1"/>
  <c r="C38" i="1" s="1"/>
  <c r="B35" i="1"/>
  <c r="G35" i="1" s="1"/>
  <c r="F34" i="1"/>
  <c r="E34" i="1"/>
  <c r="D34" i="1"/>
  <c r="C34" i="1"/>
  <c r="B34" i="1"/>
  <c r="G34" i="1" s="1"/>
  <c r="F33" i="1"/>
  <c r="G33" i="1" s="1"/>
  <c r="E33" i="1"/>
  <c r="D33" i="1"/>
  <c r="C33" i="1"/>
  <c r="B33" i="1"/>
  <c r="D32" i="1"/>
  <c r="F31" i="1"/>
  <c r="E31" i="1"/>
  <c r="D31" i="1"/>
  <c r="C31" i="1"/>
  <c r="B31" i="1"/>
  <c r="G31" i="1" s="1"/>
  <c r="F30" i="1"/>
  <c r="E30" i="1"/>
  <c r="D30" i="1"/>
  <c r="C30" i="1"/>
  <c r="B30" i="1"/>
  <c r="G30" i="1" s="1"/>
  <c r="F29" i="1"/>
  <c r="G29" i="1" s="1"/>
  <c r="E29" i="1"/>
  <c r="D29" i="1"/>
  <c r="C29" i="1"/>
  <c r="B29" i="1"/>
  <c r="F28" i="1"/>
  <c r="F32" i="1" s="1"/>
  <c r="E28" i="1"/>
  <c r="E32" i="1" s="1"/>
  <c r="D28" i="1"/>
  <c r="G28" i="1" s="1"/>
  <c r="C28" i="1"/>
  <c r="B28" i="1"/>
  <c r="F27" i="1"/>
  <c r="E27" i="1"/>
  <c r="D27" i="1"/>
  <c r="C27" i="1"/>
  <c r="C32" i="1" s="1"/>
  <c r="B27" i="1"/>
  <c r="B32" i="1" s="1"/>
  <c r="F26" i="1"/>
  <c r="E26" i="1"/>
  <c r="D26" i="1"/>
  <c r="C26" i="1"/>
  <c r="B26" i="1"/>
  <c r="G26" i="1" s="1"/>
  <c r="F25" i="1"/>
  <c r="F69" i="1" s="1"/>
  <c r="E25" i="1"/>
  <c r="D25" i="1"/>
  <c r="C25" i="1"/>
  <c r="B25" i="1"/>
  <c r="F24" i="1"/>
  <c r="E24" i="1"/>
  <c r="D24" i="1"/>
  <c r="C24" i="1"/>
  <c r="B24" i="1"/>
  <c r="F20" i="1"/>
  <c r="F19" i="1"/>
  <c r="E19" i="1"/>
  <c r="D19" i="1"/>
  <c r="G19" i="1" s="1"/>
  <c r="C19" i="1"/>
  <c r="B19" i="1"/>
  <c r="F18" i="1"/>
  <c r="E18" i="1"/>
  <c r="E20" i="1" s="1"/>
  <c r="D18" i="1"/>
  <c r="D20" i="1" s="1"/>
  <c r="C18" i="1"/>
  <c r="C20" i="1" s="1"/>
  <c r="B18" i="1"/>
  <c r="B20" i="1" s="1"/>
  <c r="F16" i="1"/>
  <c r="G16" i="1" s="1"/>
  <c r="E16" i="1"/>
  <c r="D16" i="1"/>
  <c r="C16" i="1"/>
  <c r="B16" i="1"/>
  <c r="F15" i="1"/>
  <c r="E15" i="1"/>
  <c r="D15" i="1"/>
  <c r="G15" i="1" s="1"/>
  <c r="C15" i="1"/>
  <c r="B15" i="1"/>
  <c r="C14" i="1"/>
  <c r="F13" i="1"/>
  <c r="E13" i="1"/>
  <c r="D13" i="1"/>
  <c r="C13" i="1"/>
  <c r="B13" i="1"/>
  <c r="G13" i="1" s="1"/>
  <c r="F12" i="1"/>
  <c r="G12" i="1" s="1"/>
  <c r="E12" i="1"/>
  <c r="D12" i="1"/>
  <c r="C12" i="1"/>
  <c r="B12" i="1"/>
  <c r="F11" i="1"/>
  <c r="E11" i="1"/>
  <c r="D11" i="1"/>
  <c r="G11" i="1" s="1"/>
  <c r="C11" i="1"/>
  <c r="B11" i="1"/>
  <c r="F10" i="1"/>
  <c r="F14" i="1" s="1"/>
  <c r="E10" i="1"/>
  <c r="E14" i="1" s="1"/>
  <c r="D10" i="1"/>
  <c r="D14" i="1" s="1"/>
  <c r="C10" i="1"/>
  <c r="B10" i="1"/>
  <c r="G10" i="1" s="1"/>
  <c r="F9" i="1"/>
  <c r="E9" i="1"/>
  <c r="D9" i="1"/>
  <c r="C9" i="1"/>
  <c r="C17" i="1" s="1"/>
  <c r="C21" i="1" s="1"/>
  <c r="C22" i="1" s="1"/>
  <c r="B9" i="1"/>
  <c r="G9" i="1" s="1"/>
  <c r="F8" i="1"/>
  <c r="G8" i="1" s="1"/>
  <c r="E8" i="1"/>
  <c r="D8" i="1"/>
  <c r="C8" i="1"/>
  <c r="B8" i="1"/>
  <c r="F7" i="1"/>
  <c r="E7" i="1"/>
  <c r="D7" i="1"/>
  <c r="C7" i="1"/>
  <c r="B7" i="1"/>
  <c r="G42" i="1" l="1"/>
  <c r="E69" i="1"/>
  <c r="C69" i="1"/>
  <c r="C70" i="1" s="1"/>
  <c r="C71" i="1" s="1"/>
  <c r="E17" i="1"/>
  <c r="E21" i="1" s="1"/>
  <c r="E22" i="1" s="1"/>
  <c r="E70" i="1" s="1"/>
  <c r="E71" i="1" s="1"/>
  <c r="G32" i="1"/>
  <c r="D17" i="1"/>
  <c r="D21" i="1" s="1"/>
  <c r="D22" i="1" s="1"/>
  <c r="G20" i="1"/>
  <c r="F17" i="1"/>
  <c r="F21" i="1" s="1"/>
  <c r="F22" i="1" s="1"/>
  <c r="F70" i="1" s="1"/>
  <c r="F71" i="1" s="1"/>
  <c r="B14" i="1"/>
  <c r="G14" i="1" s="1"/>
  <c r="G25" i="1"/>
  <c r="G65" i="1"/>
  <c r="B17" i="1"/>
  <c r="B38" i="1"/>
  <c r="G38" i="1" s="1"/>
  <c r="B58" i="1"/>
  <c r="G58" i="1" s="1"/>
  <c r="G24" i="1"/>
  <c r="G18" i="1"/>
  <c r="G27" i="1"/>
  <c r="B68" i="1"/>
  <c r="G68" i="1" s="1"/>
  <c r="G45" i="1"/>
  <c r="D64" i="1"/>
  <c r="D69" i="1" s="1"/>
  <c r="G7" i="1"/>
  <c r="G40" i="1"/>
  <c r="B49" i="1"/>
  <c r="G49" i="1" s="1"/>
  <c r="B53" i="1"/>
  <c r="G53" i="1" s="1"/>
  <c r="B21" i="1" l="1"/>
  <c r="G17" i="1"/>
  <c r="G64" i="1"/>
  <c r="D70" i="1"/>
  <c r="D71" i="1" s="1"/>
  <c r="B69" i="1"/>
  <c r="G69" i="1" s="1"/>
  <c r="G21" i="1" l="1"/>
  <c r="B22" i="1"/>
  <c r="G22" i="1" l="1"/>
  <c r="B70" i="1"/>
  <c r="B71" i="1" l="1"/>
  <c r="G71" i="1" s="1"/>
  <c r="G70" i="1"/>
</calcChain>
</file>

<file path=xl/sharedStrings.xml><?xml version="1.0" encoding="utf-8"?>
<sst xmlns="http://schemas.openxmlformats.org/spreadsheetml/2006/main" count="83" uniqueCount="81">
  <si>
    <t>Jan 2021</t>
  </si>
  <si>
    <t>Feb 2021</t>
  </si>
  <si>
    <t>Mar 2021</t>
  </si>
  <si>
    <t>Apr 2021</t>
  </si>
  <si>
    <t>May 2021</t>
  </si>
  <si>
    <t>Total</t>
  </si>
  <si>
    <t>Revenue</t>
  </si>
  <si>
    <t xml:space="preserve">   Non-Profit Income</t>
  </si>
  <si>
    <t xml:space="preserve">      Donation of Expense Items</t>
  </si>
  <si>
    <t xml:space="preserve">      Interest Income</t>
  </si>
  <si>
    <t xml:space="preserve">      Offerings - Main Account</t>
  </si>
  <si>
    <t xml:space="preserve">         Offerings - ACH v1.00</t>
  </si>
  <si>
    <t xml:space="preserve">         Offerings Online Giving v1.00</t>
  </si>
  <si>
    <t xml:space="preserve">         Offerings Plate v1.00</t>
  </si>
  <si>
    <t xml:space="preserve">      Total Offerings - Main Account</t>
  </si>
  <si>
    <t xml:space="preserve">      Stone Soup</t>
  </si>
  <si>
    <t xml:space="preserve">      Thrivent grant</t>
  </si>
  <si>
    <t xml:space="preserve">   Total Non-Profit Income</t>
  </si>
  <si>
    <t xml:space="preserve">   Sales of Product Income</t>
  </si>
  <si>
    <t xml:space="preserve">      PH - reimbursement for damage</t>
  </si>
  <si>
    <t xml:space="preserve">   Total Sales of Product Income</t>
  </si>
  <si>
    <t>Total Revenue</t>
  </si>
  <si>
    <t>Gross Profit</t>
  </si>
  <si>
    <t>Expenditures</t>
  </si>
  <si>
    <t xml:space="preserve">   Advertising &amp; Marketing</t>
  </si>
  <si>
    <t xml:space="preserve">   BENEVOLENCE</t>
  </si>
  <si>
    <t xml:space="preserve">   BUILDING EXPENSES</t>
  </si>
  <si>
    <t xml:space="preserve">   BUILDING SERVICES</t>
  </si>
  <si>
    <t xml:space="preserve">      Fire Alarm Monitoring</t>
  </si>
  <si>
    <t xml:space="preserve">      Lawn mowing &amp; related expenses</t>
  </si>
  <si>
    <t xml:space="preserve">      Pest control</t>
  </si>
  <si>
    <t xml:space="preserve">      Snow removal &amp; custodial</t>
  </si>
  <si>
    <t xml:space="preserve">   Total BUILDING SERVICES</t>
  </si>
  <si>
    <t xml:space="preserve">   CAPITAL IMPROVEMENT</t>
  </si>
  <si>
    <t xml:space="preserve">   Conferences &amp; continuing ed</t>
  </si>
  <si>
    <t xml:space="preserve">   Insurance</t>
  </si>
  <si>
    <t xml:space="preserve">      Insurance</t>
  </si>
  <si>
    <t xml:space="preserve">      Workers' compensation</t>
  </si>
  <si>
    <t xml:space="preserve">   Total Insurance</t>
  </si>
  <si>
    <t xml:space="preserve">   Interest Paid</t>
  </si>
  <si>
    <t xml:space="preserve">   MISCELLANEOUS</t>
  </si>
  <si>
    <t xml:space="preserve">      Stone Soup expenses</t>
  </si>
  <si>
    <t xml:space="preserve">   Total MISCELLANEOUS</t>
  </si>
  <si>
    <t xml:space="preserve">   OFFICE</t>
  </si>
  <si>
    <t xml:space="preserve">      Accounting</t>
  </si>
  <si>
    <t xml:space="preserve">      Church Mgmt Software</t>
  </si>
  <si>
    <t xml:space="preserve">      Copier rental &amp; ink</t>
  </si>
  <si>
    <t xml:space="preserve">      Office supplies</t>
  </si>
  <si>
    <t xml:space="preserve">      Secretarial services</t>
  </si>
  <si>
    <t xml:space="preserve">   Total OFFICE</t>
  </si>
  <si>
    <t xml:space="preserve">   Other Business Expenses</t>
  </si>
  <si>
    <t xml:space="preserve">   PARISH EDUCATION</t>
  </si>
  <si>
    <t xml:space="preserve">      CTKids coordinator</t>
  </si>
  <si>
    <t xml:space="preserve">   Total PARISH EDUCATION</t>
  </si>
  <si>
    <t xml:space="preserve">   PASTORAL SUPPORT</t>
  </si>
  <si>
    <t xml:space="preserve">      Pastor benefits</t>
  </si>
  <si>
    <t xml:space="preserve">      Pastor salary + taxes</t>
  </si>
  <si>
    <t xml:space="preserve">      Supply Pastor</t>
  </si>
  <si>
    <t xml:space="preserve">   Total PASTORAL SUPPORT</t>
  </si>
  <si>
    <t xml:space="preserve">   Taxes &amp; Licenses</t>
  </si>
  <si>
    <t xml:space="preserve">   Utilities</t>
  </si>
  <si>
    <t xml:space="preserve">      Gas and electric</t>
  </si>
  <si>
    <t xml:space="preserve">      Phone/internet</t>
  </si>
  <si>
    <t xml:space="preserve">      Water &amp; sewer</t>
  </si>
  <si>
    <t xml:space="preserve">   Total Utilities</t>
  </si>
  <si>
    <t xml:space="preserve">   Worship &amp; Music</t>
  </si>
  <si>
    <t xml:space="preserve">      Organist</t>
  </si>
  <si>
    <t xml:space="preserve">      Worship supplies</t>
  </si>
  <si>
    <t xml:space="preserve">   Total Worship &amp; Music</t>
  </si>
  <si>
    <t>Total Expenditures</t>
  </si>
  <si>
    <t>Net Operating Revenue</t>
  </si>
  <si>
    <t>Net Revenue</t>
  </si>
  <si>
    <t>Wednesday, Jun 02, 2021 10:36:08 AM GMT-7 - Cash Basis</t>
  </si>
  <si>
    <t>Christ the King Church - Port Washington</t>
  </si>
  <si>
    <t>Statement of Activity by Month</t>
  </si>
  <si>
    <t>January - May, 2021</t>
  </si>
  <si>
    <t>2021 Budget</t>
  </si>
  <si>
    <t>incl below</t>
  </si>
  <si>
    <t>Includes $500 for payroll system</t>
  </si>
  <si>
    <t>Includes postage</t>
  </si>
  <si>
    <t>payroll taxes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</si>
</sst>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_€"/>
    <numFmt numFmtId="165" formatCode="&quot;$&quot;* #,##0.00\ _€"/>
    <numFmt numFmtId="166" formatCode="&quot;$&quot;#,##0.00"/>
  </numFmts>
  <fonts count="8" x14ac:knownFonts="1">
    <font>
      <sz val="11"/>
      <color indexed="8"/>
      <name val="Calibri"/>
      <family val="2"/>
      <scheme val="minor"/>
    </font>
    <font>
      <b/>
      <sz val="9"/>
      <color indexed="8"/>
      <name val="Arial"/>
    </font>
    <font>
      <b/>
      <sz val="8"/>
      <color indexed="8"/>
      <name val="Arial"/>
    </font>
    <font>
      <sz val="8"/>
      <color indexed="8"/>
      <name val="Arial"/>
    </font>
    <font>
      <b/>
      <sz val="14"/>
      <color indexed="8"/>
      <name val="Arial"/>
    </font>
    <font>
      <b/>
      <sz val="10"/>
      <color indexed="8"/>
      <name val="Arial"/>
    </font>
    <font>
      <b/>
      <sz val="9"/>
      <color indexed="8"/>
      <name val="Arial"/>
      <family val="2"/>
    </font>
    <font>
      <sz val="8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wrapText="1"/>
    </xf>
    <xf numFmtId="164" fontId="3" fillId="0" borderId="0" xfId="0" applyNumberFormat="1" applyFont="1" applyAlignment="1">
      <alignment wrapText="1"/>
    </xf>
    <xf numFmtId="164" fontId="3" fillId="0" borderId="0" xfId="0" applyNumberFormat="1" applyFont="1" applyAlignment="1">
      <alignment horizontal="right" wrapText="1"/>
    </xf>
    <xf numFmtId="165" fontId="2" fillId="0" borderId="2" xfId="0" applyNumberFormat="1" applyFont="1" applyBorder="1" applyAlignment="1">
      <alignment horizontal="right" wrapText="1"/>
    </xf>
    <xf numFmtId="165" fontId="2" fillId="0" borderId="3" xfId="0" applyNumberFormat="1" applyFont="1" applyBorder="1" applyAlignment="1">
      <alignment horizontal="right" wrapText="1"/>
    </xf>
    <xf numFmtId="0" fontId="3" fillId="0" borderId="0" xfId="0" applyFont="1" applyAlignment="1">
      <alignment horizontal="center"/>
    </xf>
    <xf numFmtId="0" fontId="0" fillId="0" borderId="0" xfId="0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Fill="1" applyBorder="1" applyAlignment="1">
      <alignment horizontal="center" wrapText="1"/>
    </xf>
    <xf numFmtId="166" fontId="7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5"/>
  <sheetViews>
    <sheetView tabSelected="1" workbookViewId="0">
      <selection activeCell="H28" sqref="H28"/>
    </sheetView>
  </sheetViews>
  <sheetFormatPr defaultRowHeight="15" x14ac:dyDescent="0.25"/>
  <cols>
    <col min="1" max="1" width="33.5703125" customWidth="1"/>
    <col min="2" max="7" width="10.28515625" customWidth="1"/>
  </cols>
  <sheetData>
    <row r="1" spans="1:8" ht="18" x14ac:dyDescent="0.25">
      <c r="A1" s="10" t="s">
        <v>73</v>
      </c>
      <c r="B1" s="9"/>
      <c r="C1" s="9"/>
      <c r="D1" s="9"/>
      <c r="E1" s="9"/>
      <c r="F1" s="9"/>
      <c r="G1" s="9"/>
    </row>
    <row r="2" spans="1:8" ht="18" x14ac:dyDescent="0.25">
      <c r="A2" s="10" t="s">
        <v>74</v>
      </c>
      <c r="B2" s="9"/>
      <c r="C2" s="9"/>
      <c r="D2" s="9"/>
      <c r="E2" s="9"/>
      <c r="F2" s="9"/>
      <c r="G2" s="9"/>
    </row>
    <row r="3" spans="1:8" x14ac:dyDescent="0.25">
      <c r="A3" s="11" t="s">
        <v>75</v>
      </c>
      <c r="B3" s="9"/>
      <c r="C3" s="9"/>
      <c r="D3" s="9"/>
      <c r="E3" s="9"/>
      <c r="F3" s="9"/>
      <c r="G3" s="9"/>
    </row>
    <row r="5" spans="1:8" ht="24.75" x14ac:dyDescent="0.25">
      <c r="A5" s="1"/>
      <c r="B5" s="2" t="s">
        <v>0</v>
      </c>
      <c r="C5" s="2" t="s">
        <v>1</v>
      </c>
      <c r="D5" s="2" t="s">
        <v>2</v>
      </c>
      <c r="E5" s="2" t="s">
        <v>3</v>
      </c>
      <c r="F5" s="2" t="s">
        <v>4</v>
      </c>
      <c r="G5" s="2" t="s">
        <v>5</v>
      </c>
      <c r="H5" s="12" t="s">
        <v>76</v>
      </c>
    </row>
    <row r="6" spans="1:8" x14ac:dyDescent="0.25">
      <c r="A6" s="3" t="s">
        <v>6</v>
      </c>
      <c r="B6" s="4"/>
      <c r="C6" s="4"/>
      <c r="D6" s="4"/>
      <c r="E6" s="4"/>
      <c r="F6" s="4"/>
      <c r="G6" s="4"/>
      <c r="H6" s="13"/>
    </row>
    <row r="7" spans="1:8" x14ac:dyDescent="0.25">
      <c r="A7" s="3" t="s">
        <v>7</v>
      </c>
      <c r="B7" s="5">
        <f>0</f>
        <v>0</v>
      </c>
      <c r="C7" s="5">
        <f>0</f>
        <v>0</v>
      </c>
      <c r="D7" s="5">
        <f>0</f>
        <v>0</v>
      </c>
      <c r="E7" s="5">
        <f>0</f>
        <v>0</v>
      </c>
      <c r="F7" s="5">
        <f>0</f>
        <v>0</v>
      </c>
      <c r="G7" s="5">
        <f t="shared" ref="G7:G22" si="0">((((B7)+(C7))+(D7))+(E7))+(F7)</f>
        <v>0</v>
      </c>
      <c r="H7" s="13"/>
    </row>
    <row r="8" spans="1:8" x14ac:dyDescent="0.25">
      <c r="A8" s="3" t="s">
        <v>8</v>
      </c>
      <c r="B8" s="5">
        <f>0</f>
        <v>0</v>
      </c>
      <c r="C8" s="5">
        <f>0</f>
        <v>0</v>
      </c>
      <c r="D8" s="5">
        <f>0</f>
        <v>0</v>
      </c>
      <c r="E8" s="5">
        <f>315.44</f>
        <v>315.44</v>
      </c>
      <c r="F8" s="5">
        <f>24.02</f>
        <v>24.02</v>
      </c>
      <c r="G8" s="5">
        <f t="shared" si="0"/>
        <v>339.46</v>
      </c>
      <c r="H8" s="13"/>
    </row>
    <row r="9" spans="1:8" x14ac:dyDescent="0.25">
      <c r="A9" s="3" t="s">
        <v>9</v>
      </c>
      <c r="B9" s="5">
        <f>2.3</f>
        <v>2.2999999999999998</v>
      </c>
      <c r="C9" s="5">
        <f>2.57</f>
        <v>2.57</v>
      </c>
      <c r="D9" s="5">
        <f>3.72</f>
        <v>3.72</v>
      </c>
      <c r="E9" s="5">
        <f>3.3</f>
        <v>3.3</v>
      </c>
      <c r="F9" s="5">
        <f>2.99</f>
        <v>2.99</v>
      </c>
      <c r="G9" s="5">
        <f t="shared" si="0"/>
        <v>14.88</v>
      </c>
      <c r="H9" s="13">
        <v>15</v>
      </c>
    </row>
    <row r="10" spans="1:8" x14ac:dyDescent="0.25">
      <c r="A10" s="3" t="s">
        <v>10</v>
      </c>
      <c r="B10" s="5">
        <f>0</f>
        <v>0</v>
      </c>
      <c r="C10" s="5">
        <f>0</f>
        <v>0</v>
      </c>
      <c r="D10" s="5">
        <f>0</f>
        <v>0</v>
      </c>
      <c r="E10" s="5">
        <f>0</f>
        <v>0</v>
      </c>
      <c r="F10" s="5">
        <f>0</f>
        <v>0</v>
      </c>
      <c r="G10" s="5">
        <f t="shared" si="0"/>
        <v>0</v>
      </c>
      <c r="H10" s="13"/>
    </row>
    <row r="11" spans="1:8" x14ac:dyDescent="0.25">
      <c r="A11" s="3" t="s">
        <v>11</v>
      </c>
      <c r="B11" s="5">
        <f>250</f>
        <v>250</v>
      </c>
      <c r="C11" s="5">
        <f>250</f>
        <v>250</v>
      </c>
      <c r="D11" s="5">
        <f>250</f>
        <v>250</v>
      </c>
      <c r="E11" s="5">
        <f>250</f>
        <v>250</v>
      </c>
      <c r="F11" s="5">
        <f>250</f>
        <v>250</v>
      </c>
      <c r="G11" s="5">
        <f t="shared" si="0"/>
        <v>1250</v>
      </c>
      <c r="H11" s="13" t="s">
        <v>77</v>
      </c>
    </row>
    <row r="12" spans="1:8" x14ac:dyDescent="0.25">
      <c r="A12" s="3" t="s">
        <v>12</v>
      </c>
      <c r="B12" s="5">
        <f>2340.15</f>
        <v>2340.15</v>
      </c>
      <c r="C12" s="5">
        <f>3066.06</f>
        <v>3066.06</v>
      </c>
      <c r="D12" s="5">
        <f>4628.48</f>
        <v>4628.4799999999996</v>
      </c>
      <c r="E12" s="5">
        <f>1633.56</f>
        <v>1633.56</v>
      </c>
      <c r="F12" s="5">
        <f>2205.88</f>
        <v>2205.88</v>
      </c>
      <c r="G12" s="5">
        <f t="shared" si="0"/>
        <v>13874.129999999997</v>
      </c>
      <c r="H12" s="13">
        <v>37000</v>
      </c>
    </row>
    <row r="13" spans="1:8" x14ac:dyDescent="0.25">
      <c r="A13" s="3" t="s">
        <v>13</v>
      </c>
      <c r="B13" s="5">
        <f>21080</f>
        <v>21080</v>
      </c>
      <c r="C13" s="5">
        <f>2945</f>
        <v>2945</v>
      </c>
      <c r="D13" s="5">
        <f>0</f>
        <v>0</v>
      </c>
      <c r="E13" s="5">
        <f>4938.55</f>
        <v>4938.55</v>
      </c>
      <c r="F13" s="5">
        <f>2802.81</f>
        <v>2802.81</v>
      </c>
      <c r="G13" s="5">
        <f t="shared" si="0"/>
        <v>31766.36</v>
      </c>
      <c r="H13" s="13">
        <v>74000</v>
      </c>
    </row>
    <row r="14" spans="1:8" x14ac:dyDescent="0.25">
      <c r="A14" s="3" t="s">
        <v>14</v>
      </c>
      <c r="B14" s="6">
        <f>(((B10)+(B11))+(B12))+(B13)</f>
        <v>23670.15</v>
      </c>
      <c r="C14" s="6">
        <f>(((C10)+(C11))+(C12))+(C13)</f>
        <v>6261.0599999999995</v>
      </c>
      <c r="D14" s="6">
        <f>(((D10)+(D11))+(D12))+(D13)</f>
        <v>4878.4799999999996</v>
      </c>
      <c r="E14" s="6">
        <f>(((E10)+(E11))+(E12))+(E13)</f>
        <v>6822.1100000000006</v>
      </c>
      <c r="F14" s="6">
        <f>(((F10)+(F11))+(F12))+(F13)</f>
        <v>5258.6900000000005</v>
      </c>
      <c r="G14" s="6">
        <f t="shared" si="0"/>
        <v>46890.490000000005</v>
      </c>
      <c r="H14" s="13"/>
    </row>
    <row r="15" spans="1:8" x14ac:dyDescent="0.25">
      <c r="A15" s="3" t="s">
        <v>15</v>
      </c>
      <c r="B15" s="5">
        <f>0</f>
        <v>0</v>
      </c>
      <c r="C15" s="5">
        <f>0</f>
        <v>0</v>
      </c>
      <c r="D15" s="5">
        <f>111.32</f>
        <v>111.32</v>
      </c>
      <c r="E15" s="5">
        <f>107.03</f>
        <v>107.03</v>
      </c>
      <c r="F15" s="5">
        <f>20</f>
        <v>20</v>
      </c>
      <c r="G15" s="5">
        <f t="shared" si="0"/>
        <v>238.35</v>
      </c>
      <c r="H15" s="13">
        <v>600</v>
      </c>
    </row>
    <row r="16" spans="1:8" x14ac:dyDescent="0.25">
      <c r="A16" s="3" t="s">
        <v>16</v>
      </c>
      <c r="B16" s="5">
        <f>0</f>
        <v>0</v>
      </c>
      <c r="C16" s="5">
        <f>0</f>
        <v>0</v>
      </c>
      <c r="D16" s="5">
        <f>138</f>
        <v>138</v>
      </c>
      <c r="E16" s="5">
        <f>24</f>
        <v>24</v>
      </c>
      <c r="F16" s="5">
        <f>0</f>
        <v>0</v>
      </c>
      <c r="G16" s="5">
        <f t="shared" si="0"/>
        <v>162</v>
      </c>
      <c r="H16" s="13"/>
    </row>
    <row r="17" spans="1:8" x14ac:dyDescent="0.25">
      <c r="A17" s="3" t="s">
        <v>17</v>
      </c>
      <c r="B17" s="6">
        <f>(((((B7)+(B8))+(B9))+(B14))+(B15))+(B16)</f>
        <v>23672.45</v>
      </c>
      <c r="C17" s="6">
        <f>(((((C7)+(C8))+(C9))+(C14))+(C15))+(C16)</f>
        <v>6263.6299999999992</v>
      </c>
      <c r="D17" s="6">
        <f>(((((D7)+(D8))+(D9))+(D14))+(D15))+(D16)</f>
        <v>5131.5199999999995</v>
      </c>
      <c r="E17" s="6">
        <f>(((((E7)+(E8))+(E9))+(E14))+(E15))+(E16)</f>
        <v>7271.88</v>
      </c>
      <c r="F17" s="6">
        <f>(((((F7)+(F8))+(F9))+(F14))+(F15))+(F16)</f>
        <v>5305.7000000000007</v>
      </c>
      <c r="G17" s="6">
        <f t="shared" si="0"/>
        <v>47645.179999999993</v>
      </c>
      <c r="H17" s="13"/>
    </row>
    <row r="18" spans="1:8" x14ac:dyDescent="0.25">
      <c r="A18" s="3" t="s">
        <v>18</v>
      </c>
      <c r="B18" s="5">
        <f>0</f>
        <v>0</v>
      </c>
      <c r="C18" s="5">
        <f>0</f>
        <v>0</v>
      </c>
      <c r="D18" s="5">
        <f>0</f>
        <v>0</v>
      </c>
      <c r="E18" s="5">
        <f>0</f>
        <v>0</v>
      </c>
      <c r="F18" s="5">
        <f>0</f>
        <v>0</v>
      </c>
      <c r="G18" s="5">
        <f t="shared" si="0"/>
        <v>0</v>
      </c>
      <c r="H18" s="13"/>
    </row>
    <row r="19" spans="1:8" x14ac:dyDescent="0.25">
      <c r="A19" s="3" t="s">
        <v>19</v>
      </c>
      <c r="B19" s="5">
        <f>0</f>
        <v>0</v>
      </c>
      <c r="C19" s="5">
        <f>208.58</f>
        <v>208.58</v>
      </c>
      <c r="D19" s="5">
        <f>0</f>
        <v>0</v>
      </c>
      <c r="E19" s="5">
        <f>0</f>
        <v>0</v>
      </c>
      <c r="F19" s="5">
        <f>0</f>
        <v>0</v>
      </c>
      <c r="G19" s="5">
        <f t="shared" si="0"/>
        <v>208.58</v>
      </c>
      <c r="H19" s="13"/>
    </row>
    <row r="20" spans="1:8" x14ac:dyDescent="0.25">
      <c r="A20" s="3" t="s">
        <v>20</v>
      </c>
      <c r="B20" s="6">
        <f>(B18)+(B19)</f>
        <v>0</v>
      </c>
      <c r="C20" s="6">
        <f>(C18)+(C19)</f>
        <v>208.58</v>
      </c>
      <c r="D20" s="6">
        <f>(D18)+(D19)</f>
        <v>0</v>
      </c>
      <c r="E20" s="6">
        <f>(E18)+(E19)</f>
        <v>0</v>
      </c>
      <c r="F20" s="6">
        <f>(F18)+(F19)</f>
        <v>0</v>
      </c>
      <c r="G20" s="6">
        <f t="shared" si="0"/>
        <v>208.58</v>
      </c>
      <c r="H20" s="13"/>
    </row>
    <row r="21" spans="1:8" x14ac:dyDescent="0.25">
      <c r="A21" s="3" t="s">
        <v>21</v>
      </c>
      <c r="B21" s="6">
        <f>(B17)+(B20)</f>
        <v>23672.45</v>
      </c>
      <c r="C21" s="6">
        <f>(C17)+(C20)</f>
        <v>6472.2099999999991</v>
      </c>
      <c r="D21" s="6">
        <f>(D17)+(D20)</f>
        <v>5131.5199999999995</v>
      </c>
      <c r="E21" s="6">
        <f>(E17)+(E20)</f>
        <v>7271.88</v>
      </c>
      <c r="F21" s="6">
        <f>(F17)+(F20)</f>
        <v>5305.7000000000007</v>
      </c>
      <c r="G21" s="6">
        <f t="shared" si="0"/>
        <v>47853.759999999995</v>
      </c>
      <c r="H21" s="13"/>
    </row>
    <row r="22" spans="1:8" x14ac:dyDescent="0.25">
      <c r="A22" s="3" t="s">
        <v>22</v>
      </c>
      <c r="B22" s="6">
        <f>(B21)-(0)</f>
        <v>23672.45</v>
      </c>
      <c r="C22" s="6">
        <f>(C21)-(0)</f>
        <v>6472.2099999999991</v>
      </c>
      <c r="D22" s="6">
        <f>(D21)-(0)</f>
        <v>5131.5199999999995</v>
      </c>
      <c r="E22" s="6">
        <f>(E21)-(0)</f>
        <v>7271.88</v>
      </c>
      <c r="F22" s="6">
        <f>(F21)-(0)</f>
        <v>5305.7000000000007</v>
      </c>
      <c r="G22" s="6">
        <f t="shared" si="0"/>
        <v>47853.759999999995</v>
      </c>
      <c r="H22" s="13"/>
    </row>
    <row r="23" spans="1:8" x14ac:dyDescent="0.25">
      <c r="A23" s="3" t="s">
        <v>23</v>
      </c>
      <c r="B23" s="4"/>
      <c r="C23" s="4"/>
      <c r="D23" s="4"/>
      <c r="E23" s="4"/>
      <c r="F23" s="4"/>
      <c r="G23" s="4"/>
      <c r="H23" s="13"/>
    </row>
    <row r="24" spans="1:8" x14ac:dyDescent="0.25">
      <c r="A24" s="3" t="s">
        <v>24</v>
      </c>
      <c r="B24" s="5">
        <f>178</f>
        <v>178</v>
      </c>
      <c r="C24" s="5">
        <f>0</f>
        <v>0</v>
      </c>
      <c r="D24" s="5">
        <f>0</f>
        <v>0</v>
      </c>
      <c r="E24" s="5">
        <f>264.18</f>
        <v>264.18</v>
      </c>
      <c r="F24" s="5">
        <f>0</f>
        <v>0</v>
      </c>
      <c r="G24" s="5">
        <f t="shared" ref="G24:G71" si="1">((((B24)+(C24))+(D24))+(E24))+(F24)</f>
        <v>442.18</v>
      </c>
      <c r="H24" s="13">
        <v>500</v>
      </c>
    </row>
    <row r="25" spans="1:8" x14ac:dyDescent="0.25">
      <c r="A25" s="3" t="s">
        <v>25</v>
      </c>
      <c r="B25" s="5">
        <f>3250</f>
        <v>3250</v>
      </c>
      <c r="C25" s="5">
        <f>325</f>
        <v>325</v>
      </c>
      <c r="D25" s="5">
        <f>0</f>
        <v>0</v>
      </c>
      <c r="E25" s="5">
        <f>650</f>
        <v>650</v>
      </c>
      <c r="F25" s="5">
        <f>325</f>
        <v>325</v>
      </c>
      <c r="G25" s="5">
        <f t="shared" si="1"/>
        <v>4550</v>
      </c>
      <c r="H25" s="13">
        <v>8825</v>
      </c>
    </row>
    <row r="26" spans="1:8" x14ac:dyDescent="0.25">
      <c r="A26" s="3" t="s">
        <v>26</v>
      </c>
      <c r="B26" s="5">
        <f>6.32</f>
        <v>6.32</v>
      </c>
      <c r="C26" s="5">
        <f>204.41</f>
        <v>204.41</v>
      </c>
      <c r="D26" s="5">
        <f>8.65</f>
        <v>8.65</v>
      </c>
      <c r="E26" s="5">
        <f>0</f>
        <v>0</v>
      </c>
      <c r="F26" s="5">
        <f>134.25</f>
        <v>134.25</v>
      </c>
      <c r="G26" s="5">
        <f t="shared" si="1"/>
        <v>353.63</v>
      </c>
      <c r="H26" s="13">
        <v>2000</v>
      </c>
    </row>
    <row r="27" spans="1:8" x14ac:dyDescent="0.25">
      <c r="A27" s="3" t="s">
        <v>27</v>
      </c>
      <c r="B27" s="5">
        <f>0</f>
        <v>0</v>
      </c>
      <c r="C27" s="5">
        <f>0</f>
        <v>0</v>
      </c>
      <c r="D27" s="5">
        <f>0</f>
        <v>0</v>
      </c>
      <c r="E27" s="5">
        <f>0</f>
        <v>0</v>
      </c>
      <c r="F27" s="5">
        <f>0</f>
        <v>0</v>
      </c>
      <c r="G27" s="5">
        <f t="shared" si="1"/>
        <v>0</v>
      </c>
      <c r="H27" s="13"/>
    </row>
    <row r="28" spans="1:8" x14ac:dyDescent="0.25">
      <c r="A28" s="3" t="s">
        <v>28</v>
      </c>
      <c r="B28" s="5">
        <f>469.92</f>
        <v>469.92</v>
      </c>
      <c r="C28" s="5">
        <f>178.07</f>
        <v>178.07</v>
      </c>
      <c r="D28" s="5">
        <f>1686.55</f>
        <v>1686.55</v>
      </c>
      <c r="E28" s="5">
        <f>0</f>
        <v>0</v>
      </c>
      <c r="F28" s="5">
        <f>0</f>
        <v>0</v>
      </c>
      <c r="G28" s="5">
        <f t="shared" si="1"/>
        <v>2334.54</v>
      </c>
      <c r="H28" s="13">
        <v>1400</v>
      </c>
    </row>
    <row r="29" spans="1:8" x14ac:dyDescent="0.25">
      <c r="A29" s="3" t="s">
        <v>29</v>
      </c>
      <c r="B29" s="5">
        <f>0</f>
        <v>0</v>
      </c>
      <c r="C29" s="5">
        <f>0</f>
        <v>0</v>
      </c>
      <c r="D29" s="5">
        <f>0</f>
        <v>0</v>
      </c>
      <c r="E29" s="5">
        <f>0</f>
        <v>0</v>
      </c>
      <c r="F29" s="5">
        <f>633.92</f>
        <v>633.91999999999996</v>
      </c>
      <c r="G29" s="5">
        <f t="shared" si="1"/>
        <v>633.91999999999996</v>
      </c>
      <c r="H29" s="13">
        <v>1500</v>
      </c>
    </row>
    <row r="30" spans="1:8" x14ac:dyDescent="0.25">
      <c r="A30" s="3" t="s">
        <v>30</v>
      </c>
      <c r="B30" s="5">
        <f>45</f>
        <v>45</v>
      </c>
      <c r="C30" s="5">
        <f>0</f>
        <v>0</v>
      </c>
      <c r="D30" s="5">
        <f>45</f>
        <v>45</v>
      </c>
      <c r="E30" s="5">
        <f>0</f>
        <v>0</v>
      </c>
      <c r="F30" s="5">
        <f>0</f>
        <v>0</v>
      </c>
      <c r="G30" s="5">
        <f t="shared" si="1"/>
        <v>90</v>
      </c>
      <c r="H30" s="13">
        <v>1300</v>
      </c>
    </row>
    <row r="31" spans="1:8" x14ac:dyDescent="0.25">
      <c r="A31" s="3" t="s">
        <v>31</v>
      </c>
      <c r="B31" s="5">
        <f>345.32</f>
        <v>345.32</v>
      </c>
      <c r="C31" s="5">
        <f>350</f>
        <v>350</v>
      </c>
      <c r="D31" s="5">
        <f>475</f>
        <v>475</v>
      </c>
      <c r="E31" s="5">
        <f>425</f>
        <v>425</v>
      </c>
      <c r="F31" s="5">
        <f>0</f>
        <v>0</v>
      </c>
      <c r="G31" s="5">
        <f t="shared" si="1"/>
        <v>1595.32</v>
      </c>
      <c r="H31" s="13">
        <v>1500</v>
      </c>
    </row>
    <row r="32" spans="1:8" x14ac:dyDescent="0.25">
      <c r="A32" s="3" t="s">
        <v>32</v>
      </c>
      <c r="B32" s="6">
        <f>((((B27)+(B28))+(B29))+(B30))+(B31)</f>
        <v>860.24</v>
      </c>
      <c r="C32" s="6">
        <f>((((C27)+(C28))+(C29))+(C30))+(C31)</f>
        <v>528.06999999999994</v>
      </c>
      <c r="D32" s="6">
        <f>((((D27)+(D28))+(D29))+(D30))+(D31)</f>
        <v>2206.5500000000002</v>
      </c>
      <c r="E32" s="6">
        <f>((((E27)+(E28))+(E29))+(E30))+(E31)</f>
        <v>425</v>
      </c>
      <c r="F32" s="6">
        <f>((((F27)+(F28))+(F29))+(F30))+(F31)</f>
        <v>633.91999999999996</v>
      </c>
      <c r="G32" s="6">
        <f t="shared" si="1"/>
        <v>4653.78</v>
      </c>
      <c r="H32" s="13"/>
    </row>
    <row r="33" spans="1:9" x14ac:dyDescent="0.25">
      <c r="A33" s="3" t="s">
        <v>33</v>
      </c>
      <c r="B33" s="5">
        <f>0</f>
        <v>0</v>
      </c>
      <c r="C33" s="5">
        <f>0</f>
        <v>0</v>
      </c>
      <c r="D33" s="5">
        <f>0</f>
        <v>0</v>
      </c>
      <c r="E33" s="5">
        <f>210.99</f>
        <v>210.99</v>
      </c>
      <c r="F33" s="5">
        <f>640.37</f>
        <v>640.37</v>
      </c>
      <c r="G33" s="5">
        <f t="shared" si="1"/>
        <v>851.36</v>
      </c>
      <c r="H33" s="13">
        <v>3000</v>
      </c>
    </row>
    <row r="34" spans="1:9" x14ac:dyDescent="0.25">
      <c r="A34" s="3" t="s">
        <v>34</v>
      </c>
      <c r="B34" s="5">
        <f>0</f>
        <v>0</v>
      </c>
      <c r="C34" s="5">
        <f>0</f>
        <v>0</v>
      </c>
      <c r="D34" s="5">
        <f>0</f>
        <v>0</v>
      </c>
      <c r="E34" s="5">
        <f>40</f>
        <v>40</v>
      </c>
      <c r="F34" s="5">
        <f>0</f>
        <v>0</v>
      </c>
      <c r="G34" s="5">
        <f t="shared" si="1"/>
        <v>40</v>
      </c>
      <c r="H34" s="13">
        <v>1200</v>
      </c>
    </row>
    <row r="35" spans="1:9" x14ac:dyDescent="0.25">
      <c r="A35" s="3" t="s">
        <v>35</v>
      </c>
      <c r="B35" s="5">
        <f>0</f>
        <v>0</v>
      </c>
      <c r="C35" s="5">
        <f>0</f>
        <v>0</v>
      </c>
      <c r="D35" s="5">
        <f>0</f>
        <v>0</v>
      </c>
      <c r="E35" s="5">
        <f>0</f>
        <v>0</v>
      </c>
      <c r="F35" s="5">
        <f>0</f>
        <v>0</v>
      </c>
      <c r="G35" s="5">
        <f t="shared" si="1"/>
        <v>0</v>
      </c>
    </row>
    <row r="36" spans="1:9" x14ac:dyDescent="0.25">
      <c r="A36" s="3" t="s">
        <v>36</v>
      </c>
      <c r="B36" s="5">
        <f>2763.5</f>
        <v>2763.5</v>
      </c>
      <c r="C36" s="5">
        <f>0</f>
        <v>0</v>
      </c>
      <c r="D36" s="5">
        <f>0</f>
        <v>0</v>
      </c>
      <c r="E36" s="5">
        <f>0</f>
        <v>0</v>
      </c>
      <c r="F36" s="5">
        <f>2763.5</f>
        <v>2763.5</v>
      </c>
      <c r="G36" s="5">
        <f t="shared" si="1"/>
        <v>5527</v>
      </c>
      <c r="H36" s="13" t="s">
        <v>77</v>
      </c>
    </row>
    <row r="37" spans="1:9" x14ac:dyDescent="0.25">
      <c r="A37" s="3" t="s">
        <v>37</v>
      </c>
      <c r="B37" s="5">
        <f>252</f>
        <v>252</v>
      </c>
      <c r="C37" s="5">
        <f>0</f>
        <v>0</v>
      </c>
      <c r="D37" s="5">
        <f>6</f>
        <v>6</v>
      </c>
      <c r="E37" s="5">
        <f>0</f>
        <v>0</v>
      </c>
      <c r="F37" s="5">
        <f>252</f>
        <v>252</v>
      </c>
      <c r="G37" s="5">
        <f t="shared" si="1"/>
        <v>510</v>
      </c>
      <c r="H37" s="13" t="s">
        <v>77</v>
      </c>
    </row>
    <row r="38" spans="1:9" x14ac:dyDescent="0.25">
      <c r="A38" s="3" t="s">
        <v>38</v>
      </c>
      <c r="B38" s="6">
        <f>((B35)+(B36))+(B37)</f>
        <v>3015.5</v>
      </c>
      <c r="C38" s="6">
        <f>((C35)+(C36))+(C37)</f>
        <v>0</v>
      </c>
      <c r="D38" s="6">
        <f>((D35)+(D36))+(D37)</f>
        <v>6</v>
      </c>
      <c r="E38" s="6">
        <f>((E35)+(E36))+(E37)</f>
        <v>0</v>
      </c>
      <c r="F38" s="6">
        <f>((F35)+(F36))+(F37)</f>
        <v>3015.5</v>
      </c>
      <c r="G38" s="6">
        <f t="shared" si="1"/>
        <v>6037</v>
      </c>
      <c r="H38" s="13">
        <v>5553</v>
      </c>
    </row>
    <row r="39" spans="1:9" x14ac:dyDescent="0.25">
      <c r="A39" s="3" t="s">
        <v>39</v>
      </c>
      <c r="B39" s="5">
        <f>653.58</f>
        <v>653.58000000000004</v>
      </c>
      <c r="C39" s="5">
        <f>652.05</f>
        <v>652.04999999999995</v>
      </c>
      <c r="D39" s="5">
        <f>587.36</f>
        <v>587.36</v>
      </c>
      <c r="E39" s="5">
        <f>648.34</f>
        <v>648.34</v>
      </c>
      <c r="F39" s="5">
        <f>625.82</f>
        <v>625.82000000000005</v>
      </c>
      <c r="G39" s="5">
        <f t="shared" si="1"/>
        <v>3167.1500000000005</v>
      </c>
      <c r="H39" s="13"/>
    </row>
    <row r="40" spans="1:9" x14ac:dyDescent="0.25">
      <c r="A40" s="3" t="s">
        <v>40</v>
      </c>
      <c r="B40" s="5">
        <f>0</f>
        <v>0</v>
      </c>
      <c r="C40" s="5">
        <f>549.29</f>
        <v>549.29</v>
      </c>
      <c r="D40" s="5">
        <f>0</f>
        <v>0</v>
      </c>
      <c r="E40" s="5">
        <f>0</f>
        <v>0</v>
      </c>
      <c r="F40" s="5">
        <f>0</f>
        <v>0</v>
      </c>
      <c r="G40" s="5">
        <f t="shared" si="1"/>
        <v>549.29</v>
      </c>
      <c r="H40" s="13"/>
    </row>
    <row r="41" spans="1:9" x14ac:dyDescent="0.25">
      <c r="A41" s="3" t="s">
        <v>41</v>
      </c>
      <c r="B41" s="5">
        <f>0</f>
        <v>0</v>
      </c>
      <c r="C41" s="5">
        <f>0</f>
        <v>0</v>
      </c>
      <c r="D41" s="5">
        <f>0</f>
        <v>0</v>
      </c>
      <c r="E41" s="5">
        <f>0</f>
        <v>0</v>
      </c>
      <c r="F41" s="5">
        <f>147.35</f>
        <v>147.35</v>
      </c>
      <c r="G41" s="5">
        <f t="shared" si="1"/>
        <v>147.35</v>
      </c>
      <c r="H41" s="13">
        <v>600</v>
      </c>
    </row>
    <row r="42" spans="1:9" x14ac:dyDescent="0.25">
      <c r="A42" s="3" t="s">
        <v>42</v>
      </c>
      <c r="B42" s="6">
        <f>(B40)+(B41)</f>
        <v>0</v>
      </c>
      <c r="C42" s="6">
        <f>(C40)+(C41)</f>
        <v>549.29</v>
      </c>
      <c r="D42" s="6">
        <f>(D40)+(D41)</f>
        <v>0</v>
      </c>
      <c r="E42" s="6">
        <f>(E40)+(E41)</f>
        <v>0</v>
      </c>
      <c r="F42" s="6">
        <f>(F40)+(F41)</f>
        <v>147.35</v>
      </c>
      <c r="G42" s="6">
        <f t="shared" si="1"/>
        <v>696.64</v>
      </c>
      <c r="H42" s="13"/>
    </row>
    <row r="43" spans="1:9" x14ac:dyDescent="0.25">
      <c r="A43" s="3" t="s">
        <v>43</v>
      </c>
      <c r="B43" s="5">
        <f>0</f>
        <v>0</v>
      </c>
      <c r="C43" s="5">
        <f>0</f>
        <v>0</v>
      </c>
      <c r="D43" s="5">
        <f>0</f>
        <v>0</v>
      </c>
      <c r="E43" s="5">
        <f>0</f>
        <v>0</v>
      </c>
      <c r="F43" s="5">
        <f>0</f>
        <v>0</v>
      </c>
      <c r="G43" s="5">
        <f t="shared" si="1"/>
        <v>0</v>
      </c>
      <c r="H43" s="13"/>
    </row>
    <row r="44" spans="1:9" x14ac:dyDescent="0.25">
      <c r="A44" s="3" t="s">
        <v>44</v>
      </c>
      <c r="B44" s="5">
        <f>25</f>
        <v>25</v>
      </c>
      <c r="C44" s="5">
        <f>25</f>
        <v>25</v>
      </c>
      <c r="D44" s="5">
        <f>62</f>
        <v>62</v>
      </c>
      <c r="E44" s="5">
        <f>68</f>
        <v>68</v>
      </c>
      <c r="F44" s="5">
        <f>68</f>
        <v>68</v>
      </c>
      <c r="G44" s="5">
        <f t="shared" si="1"/>
        <v>248</v>
      </c>
      <c r="H44" s="13">
        <v>800</v>
      </c>
      <c r="I44" t="s">
        <v>78</v>
      </c>
    </row>
    <row r="45" spans="1:9" x14ac:dyDescent="0.25">
      <c r="A45" s="3" t="s">
        <v>45</v>
      </c>
      <c r="B45" s="5">
        <f>0</f>
        <v>0</v>
      </c>
      <c r="C45" s="5">
        <f>0</f>
        <v>0</v>
      </c>
      <c r="D45" s="5">
        <f>0</f>
        <v>0</v>
      </c>
      <c r="E45" s="5">
        <f>0</f>
        <v>0</v>
      </c>
      <c r="F45" s="5">
        <f>322</f>
        <v>322</v>
      </c>
      <c r="G45" s="5">
        <f t="shared" si="1"/>
        <v>322</v>
      </c>
      <c r="H45" s="13">
        <v>336</v>
      </c>
    </row>
    <row r="46" spans="1:9" x14ac:dyDescent="0.25">
      <c r="A46" s="3" t="s">
        <v>46</v>
      </c>
      <c r="B46" s="5">
        <f>96.81</f>
        <v>96.81</v>
      </c>
      <c r="C46" s="5">
        <f>115.09</f>
        <v>115.09</v>
      </c>
      <c r="D46" s="5">
        <f>114.83</f>
        <v>114.83</v>
      </c>
      <c r="E46" s="5">
        <f>116.48</f>
        <v>116.48</v>
      </c>
      <c r="F46" s="5">
        <f>115.98</f>
        <v>115.98</v>
      </c>
      <c r="G46" s="5">
        <f t="shared" si="1"/>
        <v>559.19000000000005</v>
      </c>
      <c r="H46" s="13">
        <v>1700</v>
      </c>
    </row>
    <row r="47" spans="1:9" x14ac:dyDescent="0.25">
      <c r="A47" s="3" t="s">
        <v>47</v>
      </c>
      <c r="B47" s="5">
        <f>18.13</f>
        <v>18.13</v>
      </c>
      <c r="C47" s="5">
        <f>0</f>
        <v>0</v>
      </c>
      <c r="D47" s="5">
        <f>101.7</f>
        <v>101.7</v>
      </c>
      <c r="E47" s="5">
        <f>0</f>
        <v>0</v>
      </c>
      <c r="F47" s="5">
        <f>0</f>
        <v>0</v>
      </c>
      <c r="G47" s="5">
        <f t="shared" si="1"/>
        <v>119.83</v>
      </c>
      <c r="H47" s="13">
        <v>650</v>
      </c>
      <c r="I47" t="s">
        <v>79</v>
      </c>
    </row>
    <row r="48" spans="1:9" x14ac:dyDescent="0.25">
      <c r="A48" s="3" t="s">
        <v>48</v>
      </c>
      <c r="B48" s="5">
        <f>531.71</f>
        <v>531.71</v>
      </c>
      <c r="C48" s="5">
        <f>1057.66</f>
        <v>1057.6600000000001</v>
      </c>
      <c r="D48" s="5">
        <f>577.85</f>
        <v>577.85</v>
      </c>
      <c r="E48" s="5">
        <f>449.58</f>
        <v>449.58</v>
      </c>
      <c r="F48" s="5">
        <f>401.17</f>
        <v>401.17</v>
      </c>
      <c r="G48" s="5">
        <f t="shared" si="1"/>
        <v>3017.9700000000003</v>
      </c>
      <c r="H48" s="13">
        <v>9000</v>
      </c>
    </row>
    <row r="49" spans="1:9" x14ac:dyDescent="0.25">
      <c r="A49" s="3" t="s">
        <v>49</v>
      </c>
      <c r="B49" s="6">
        <f>(((((B43)+(B44))+(B45))+(B46))+(B47))+(B48)</f>
        <v>671.65000000000009</v>
      </c>
      <c r="C49" s="6">
        <f>(((((C43)+(C44))+(C45))+(C46))+(C47))+(C48)</f>
        <v>1197.75</v>
      </c>
      <c r="D49" s="6">
        <f>(((((D43)+(D44))+(D45))+(D46))+(D47))+(D48)</f>
        <v>856.38</v>
      </c>
      <c r="E49" s="6">
        <f>(((((E43)+(E44))+(E45))+(E46))+(E47))+(E48)</f>
        <v>634.05999999999995</v>
      </c>
      <c r="F49" s="6">
        <f>(((((F43)+(F44))+(F45))+(F46))+(F47))+(F48)</f>
        <v>907.15000000000009</v>
      </c>
      <c r="G49" s="6">
        <f t="shared" si="1"/>
        <v>4266.99</v>
      </c>
      <c r="H49" s="13"/>
    </row>
    <row r="50" spans="1:9" x14ac:dyDescent="0.25">
      <c r="A50" s="3" t="s">
        <v>50</v>
      </c>
      <c r="B50" s="5">
        <f>0</f>
        <v>0</v>
      </c>
      <c r="C50" s="5">
        <f>0</f>
        <v>0</v>
      </c>
      <c r="D50" s="5">
        <f>0</f>
        <v>0</v>
      </c>
      <c r="E50" s="5">
        <f>0</f>
        <v>0</v>
      </c>
      <c r="F50" s="5">
        <f>10</f>
        <v>10</v>
      </c>
      <c r="G50" s="5">
        <f t="shared" si="1"/>
        <v>10</v>
      </c>
      <c r="H50" s="13"/>
    </row>
    <row r="51" spans="1:9" x14ac:dyDescent="0.25">
      <c r="A51" s="3" t="s">
        <v>51</v>
      </c>
      <c r="B51" s="5">
        <f>0</f>
        <v>0</v>
      </c>
      <c r="C51" s="5">
        <f>0</f>
        <v>0</v>
      </c>
      <c r="D51" s="5">
        <f>0</f>
        <v>0</v>
      </c>
      <c r="E51" s="5">
        <f>0</f>
        <v>0</v>
      </c>
      <c r="F51" s="5">
        <f>0</f>
        <v>0</v>
      </c>
      <c r="G51" s="5">
        <f t="shared" si="1"/>
        <v>0</v>
      </c>
      <c r="H51" s="13"/>
    </row>
    <row r="52" spans="1:9" x14ac:dyDescent="0.25">
      <c r="A52" s="3" t="s">
        <v>52</v>
      </c>
      <c r="B52" s="5">
        <f>277.05</f>
        <v>277.05</v>
      </c>
      <c r="C52" s="5">
        <f>803.55</f>
        <v>803.55</v>
      </c>
      <c r="D52" s="5">
        <f>507.61</f>
        <v>507.61</v>
      </c>
      <c r="E52" s="5">
        <f>430.6</f>
        <v>430.6</v>
      </c>
      <c r="F52" s="5">
        <f>430.6</f>
        <v>430.6</v>
      </c>
      <c r="G52" s="5">
        <f t="shared" si="1"/>
        <v>2449.41</v>
      </c>
      <c r="H52" s="13">
        <v>3600</v>
      </c>
    </row>
    <row r="53" spans="1:9" x14ac:dyDescent="0.25">
      <c r="A53" s="3" t="s">
        <v>53</v>
      </c>
      <c r="B53" s="6">
        <f>(B51)+(B52)</f>
        <v>277.05</v>
      </c>
      <c r="C53" s="6">
        <f>(C51)+(C52)</f>
        <v>803.55</v>
      </c>
      <c r="D53" s="6">
        <f>(D51)+(D52)</f>
        <v>507.61</v>
      </c>
      <c r="E53" s="6">
        <f>(E51)+(E52)</f>
        <v>430.6</v>
      </c>
      <c r="F53" s="6">
        <f>(F51)+(F52)</f>
        <v>430.6</v>
      </c>
      <c r="G53" s="6">
        <f t="shared" si="1"/>
        <v>2449.41</v>
      </c>
      <c r="H53" s="13"/>
    </row>
    <row r="54" spans="1:9" x14ac:dyDescent="0.25">
      <c r="A54" s="3" t="s">
        <v>54</v>
      </c>
      <c r="B54" s="5">
        <f>0</f>
        <v>0</v>
      </c>
      <c r="C54" s="5">
        <f>0</f>
        <v>0</v>
      </c>
      <c r="D54" s="5">
        <f>0</f>
        <v>0</v>
      </c>
      <c r="E54" s="5">
        <f>0</f>
        <v>0</v>
      </c>
      <c r="F54" s="5">
        <f>0</f>
        <v>0</v>
      </c>
      <c r="G54" s="5">
        <f t="shared" si="1"/>
        <v>0</v>
      </c>
      <c r="H54" s="13"/>
    </row>
    <row r="55" spans="1:9" x14ac:dyDescent="0.25">
      <c r="A55" s="3" t="s">
        <v>55</v>
      </c>
      <c r="B55" s="5">
        <f>0</f>
        <v>0</v>
      </c>
      <c r="C55" s="5">
        <f>0</f>
        <v>0</v>
      </c>
      <c r="D55" s="5">
        <f>0</f>
        <v>0</v>
      </c>
      <c r="E55" s="5">
        <f>1111.91</f>
        <v>1111.9100000000001</v>
      </c>
      <c r="F55" s="5">
        <f>319.16</f>
        <v>319.16000000000003</v>
      </c>
      <c r="G55" s="5">
        <f t="shared" si="1"/>
        <v>1431.0700000000002</v>
      </c>
      <c r="H55" s="13">
        <v>14480</v>
      </c>
    </row>
    <row r="56" spans="1:9" x14ac:dyDescent="0.25">
      <c r="A56" s="3" t="s">
        <v>56</v>
      </c>
      <c r="B56" s="5">
        <f>0</f>
        <v>0</v>
      </c>
      <c r="C56" s="5">
        <f>2775.25</f>
        <v>2775.25</v>
      </c>
      <c r="D56" s="5">
        <f>2775.25</f>
        <v>2775.25</v>
      </c>
      <c r="E56" s="5">
        <f>2775.25</f>
        <v>2775.25</v>
      </c>
      <c r="F56" s="5">
        <f>2783.95</f>
        <v>2783.95</v>
      </c>
      <c r="G56" s="5">
        <f t="shared" si="1"/>
        <v>11109.7</v>
      </c>
      <c r="H56" s="13">
        <v>33535</v>
      </c>
    </row>
    <row r="57" spans="1:9" x14ac:dyDescent="0.25">
      <c r="A57" s="3" t="s">
        <v>57</v>
      </c>
      <c r="B57" s="5">
        <f>212.95</f>
        <v>212.95</v>
      </c>
      <c r="C57" s="5">
        <f>0</f>
        <v>0</v>
      </c>
      <c r="D57" s="5">
        <f>0</f>
        <v>0</v>
      </c>
      <c r="E57" s="5">
        <f>0</f>
        <v>0</v>
      </c>
      <c r="F57" s="5">
        <f>198.52</f>
        <v>198.52</v>
      </c>
      <c r="G57" s="5">
        <f t="shared" si="1"/>
        <v>411.47</v>
      </c>
      <c r="H57" s="13">
        <v>1200</v>
      </c>
    </row>
    <row r="58" spans="1:9" x14ac:dyDescent="0.25">
      <c r="A58" s="3" t="s">
        <v>58</v>
      </c>
      <c r="B58" s="6">
        <f>(((B54)+(B55))+(B56))+(B57)</f>
        <v>212.95</v>
      </c>
      <c r="C58" s="6">
        <f>(((C54)+(C55))+(C56))+(C57)</f>
        <v>2775.25</v>
      </c>
      <c r="D58" s="6">
        <f>(((D54)+(D55))+(D56))+(D57)</f>
        <v>2775.25</v>
      </c>
      <c r="E58" s="6">
        <f>(((E54)+(E55))+(E56))+(E57)</f>
        <v>3887.16</v>
      </c>
      <c r="F58" s="6">
        <f>(((F54)+(F55))+(F56))+(F57)</f>
        <v>3301.6299999999997</v>
      </c>
      <c r="G58" s="6">
        <f t="shared" si="1"/>
        <v>12952.24</v>
      </c>
      <c r="H58" s="13"/>
    </row>
    <row r="59" spans="1:9" x14ac:dyDescent="0.25">
      <c r="A59" s="3" t="s">
        <v>59</v>
      </c>
      <c r="B59" s="5">
        <f>0</f>
        <v>0</v>
      </c>
      <c r="C59" s="5">
        <f>3039.5</f>
        <v>3039.5</v>
      </c>
      <c r="D59" s="5">
        <f>0</f>
        <v>0</v>
      </c>
      <c r="E59" s="5">
        <f>0</f>
        <v>0</v>
      </c>
      <c r="F59" s="5">
        <f>0</f>
        <v>0</v>
      </c>
      <c r="G59" s="5">
        <f t="shared" si="1"/>
        <v>3039.5</v>
      </c>
      <c r="H59" s="13">
        <v>3029.55</v>
      </c>
      <c r="I59" t="s">
        <v>80</v>
      </c>
    </row>
    <row r="60" spans="1:9" x14ac:dyDescent="0.25">
      <c r="A60" s="3" t="s">
        <v>60</v>
      </c>
      <c r="B60" s="5">
        <f>0</f>
        <v>0</v>
      </c>
      <c r="C60" s="5">
        <f>0</f>
        <v>0</v>
      </c>
      <c r="D60" s="5">
        <f>0</f>
        <v>0</v>
      </c>
      <c r="E60" s="5">
        <f>0</f>
        <v>0</v>
      </c>
      <c r="F60" s="5">
        <f>0</f>
        <v>0</v>
      </c>
      <c r="G60" s="5">
        <f t="shared" si="1"/>
        <v>0</v>
      </c>
      <c r="H60" s="13"/>
    </row>
    <row r="61" spans="1:9" x14ac:dyDescent="0.25">
      <c r="A61" s="3" t="s">
        <v>61</v>
      </c>
      <c r="B61" s="5">
        <f>595.52</f>
        <v>595.52</v>
      </c>
      <c r="C61" s="5">
        <f>0</f>
        <v>0</v>
      </c>
      <c r="D61" s="5">
        <f>1519.02</f>
        <v>1519.02</v>
      </c>
      <c r="E61" s="5">
        <f>732.47</f>
        <v>732.47</v>
      </c>
      <c r="F61" s="5">
        <f>552.76</f>
        <v>552.76</v>
      </c>
      <c r="G61" s="5">
        <f t="shared" si="1"/>
        <v>3399.7700000000004</v>
      </c>
      <c r="H61" s="13">
        <v>7800</v>
      </c>
    </row>
    <row r="62" spans="1:9" x14ac:dyDescent="0.25">
      <c r="A62" s="3" t="s">
        <v>62</v>
      </c>
      <c r="B62" s="5">
        <f>146.85</f>
        <v>146.85</v>
      </c>
      <c r="C62" s="5">
        <f>146.85</f>
        <v>146.85</v>
      </c>
      <c r="D62" s="5">
        <f>146.85</f>
        <v>146.85</v>
      </c>
      <c r="E62" s="5">
        <f>147.15</f>
        <v>147.15</v>
      </c>
      <c r="F62" s="5">
        <f>168.64</f>
        <v>168.64</v>
      </c>
      <c r="G62" s="5">
        <f t="shared" si="1"/>
        <v>756.33999999999992</v>
      </c>
      <c r="H62" s="13">
        <v>1800</v>
      </c>
    </row>
    <row r="63" spans="1:9" x14ac:dyDescent="0.25">
      <c r="A63" s="3" t="s">
        <v>63</v>
      </c>
      <c r="B63" s="5">
        <f>0</f>
        <v>0</v>
      </c>
      <c r="C63" s="5">
        <f>81.12</f>
        <v>81.12</v>
      </c>
      <c r="D63" s="5">
        <f>0</f>
        <v>0</v>
      </c>
      <c r="E63" s="5">
        <f>74.31</f>
        <v>74.31</v>
      </c>
      <c r="F63" s="5">
        <f>0</f>
        <v>0</v>
      </c>
      <c r="G63" s="5">
        <f t="shared" si="1"/>
        <v>155.43</v>
      </c>
      <c r="H63" s="13">
        <v>1400</v>
      </c>
    </row>
    <row r="64" spans="1:9" x14ac:dyDescent="0.25">
      <c r="A64" s="3" t="s">
        <v>64</v>
      </c>
      <c r="B64" s="6">
        <f>(((B60)+(B61))+(B62))+(B63)</f>
        <v>742.37</v>
      </c>
      <c r="C64" s="6">
        <f>(((C60)+(C61))+(C62))+(C63)</f>
        <v>227.97</v>
      </c>
      <c r="D64" s="6">
        <f>(((D60)+(D61))+(D62))+(D63)</f>
        <v>1665.87</v>
      </c>
      <c r="E64" s="6">
        <f>(((E60)+(E61))+(E62))+(E63)</f>
        <v>953.93000000000006</v>
      </c>
      <c r="F64" s="6">
        <f>(((F60)+(F61))+(F62))+(F63)</f>
        <v>721.4</v>
      </c>
      <c r="G64" s="6">
        <f t="shared" si="1"/>
        <v>4311.54</v>
      </c>
      <c r="H64" s="13"/>
    </row>
    <row r="65" spans="1:8" x14ac:dyDescent="0.25">
      <c r="A65" s="3" t="s">
        <v>65</v>
      </c>
      <c r="B65" s="5">
        <f>0</f>
        <v>0</v>
      </c>
      <c r="C65" s="5">
        <f>0</f>
        <v>0</v>
      </c>
      <c r="D65" s="5">
        <f>0</f>
        <v>0</v>
      </c>
      <c r="E65" s="5">
        <f>0</f>
        <v>0</v>
      </c>
      <c r="F65" s="5">
        <f>0</f>
        <v>0</v>
      </c>
      <c r="G65" s="5">
        <f t="shared" si="1"/>
        <v>0</v>
      </c>
      <c r="H65" s="13"/>
    </row>
    <row r="66" spans="1:8" x14ac:dyDescent="0.25">
      <c r="A66" s="3" t="s">
        <v>66</v>
      </c>
      <c r="B66" s="5">
        <f>0</f>
        <v>0</v>
      </c>
      <c r="C66" s="5">
        <f>100</f>
        <v>100</v>
      </c>
      <c r="D66" s="5">
        <f>299.07</f>
        <v>299.07</v>
      </c>
      <c r="E66" s="5">
        <f>236.83</f>
        <v>236.83</v>
      </c>
      <c r="F66" s="5">
        <f>0</f>
        <v>0</v>
      </c>
      <c r="G66" s="5">
        <f t="shared" si="1"/>
        <v>635.9</v>
      </c>
      <c r="H66" s="13">
        <v>3190</v>
      </c>
    </row>
    <row r="67" spans="1:8" x14ac:dyDescent="0.25">
      <c r="A67" s="3" t="s">
        <v>67</v>
      </c>
      <c r="B67" s="5">
        <f>0</f>
        <v>0</v>
      </c>
      <c r="C67" s="5">
        <f>37.68</f>
        <v>37.68</v>
      </c>
      <c r="D67" s="5">
        <f>44.12</f>
        <v>44.12</v>
      </c>
      <c r="E67" s="5">
        <f>317.81</f>
        <v>317.81</v>
      </c>
      <c r="F67" s="5">
        <f>187.84</f>
        <v>187.84</v>
      </c>
      <c r="G67" s="5">
        <f t="shared" si="1"/>
        <v>587.45000000000005</v>
      </c>
      <c r="H67" s="13">
        <v>2650</v>
      </c>
    </row>
    <row r="68" spans="1:8" x14ac:dyDescent="0.25">
      <c r="A68" s="3" t="s">
        <v>68</v>
      </c>
      <c r="B68" s="6">
        <f>((B65)+(B66))+(B67)</f>
        <v>0</v>
      </c>
      <c r="C68" s="6">
        <f>((C65)+(C66))+(C67)</f>
        <v>137.68</v>
      </c>
      <c r="D68" s="6">
        <f>((D65)+(D66))+(D67)</f>
        <v>343.19</v>
      </c>
      <c r="E68" s="6">
        <f>((E65)+(E66))+(E67)</f>
        <v>554.64</v>
      </c>
      <c r="F68" s="6">
        <f>((F65)+(F66))+(F67)</f>
        <v>187.84</v>
      </c>
      <c r="G68" s="6">
        <f t="shared" si="1"/>
        <v>1223.3499999999999</v>
      </c>
      <c r="H68" s="13"/>
    </row>
    <row r="69" spans="1:8" x14ac:dyDescent="0.25">
      <c r="A69" s="3" t="s">
        <v>69</v>
      </c>
      <c r="B69" s="6">
        <f>(((((((((((((((B24)+(B25))+(B26))+(B32))+(B33))+(B34))+(B38))+(B39))+(B42))+(B49))+(B50))+(B53))+(B58))+(B59))+(B64))+(B68)</f>
        <v>9867.6600000000017</v>
      </c>
      <c r="C69" s="6">
        <f>(((((((((((((((C24)+(C25))+(C26))+(C32))+(C33))+(C34))+(C38))+(C39))+(C42))+(C49))+(C50))+(C53))+(C58))+(C59))+(C64))+(C68)</f>
        <v>10440.519999999999</v>
      </c>
      <c r="D69" s="6">
        <f>(((((((((((((((D24)+(D25))+(D26))+(D32))+(D33))+(D34))+(D38))+(D39))+(D42))+(D49))+(D50))+(D53))+(D58))+(D59))+(D64))+(D68)</f>
        <v>8956.86</v>
      </c>
      <c r="E69" s="6">
        <f>(((((((((((((((E24)+(E25))+(E26))+(E32))+(E33))+(E34))+(E38))+(E39))+(E42))+(E49))+(E50))+(E53))+(E58))+(E59))+(E64))+(E68)</f>
        <v>8698.9</v>
      </c>
      <c r="F69" s="6">
        <f>(((((((((((((((F24)+(F25))+(F26))+(F32))+(F33))+(F34))+(F38))+(F39))+(F42))+(F49))+(F50))+(F53))+(F58))+(F59))+(F64))+(F68)</f>
        <v>11080.83</v>
      </c>
      <c r="G69" s="6">
        <f t="shared" si="1"/>
        <v>49044.770000000004</v>
      </c>
      <c r="H69" s="13"/>
    </row>
    <row r="70" spans="1:8" x14ac:dyDescent="0.25">
      <c r="A70" s="3" t="s">
        <v>70</v>
      </c>
      <c r="B70" s="6">
        <f>(B22)-(B69)</f>
        <v>13804.789999999999</v>
      </c>
      <c r="C70" s="6">
        <f>(C22)-(C69)</f>
        <v>-3968.3099999999995</v>
      </c>
      <c r="D70" s="6">
        <f>(D22)-(D69)</f>
        <v>-3825.3400000000011</v>
      </c>
      <c r="E70" s="6">
        <f>(E22)-(E69)</f>
        <v>-1427.0199999999995</v>
      </c>
      <c r="F70" s="6">
        <f>(F22)-(F69)</f>
        <v>-5775.1299999999992</v>
      </c>
      <c r="G70" s="6">
        <f t="shared" si="1"/>
        <v>-1191.0100000000002</v>
      </c>
      <c r="H70" s="13"/>
    </row>
    <row r="71" spans="1:8" x14ac:dyDescent="0.25">
      <c r="A71" s="3" t="s">
        <v>71</v>
      </c>
      <c r="B71" s="7">
        <f>(B70)+(0)</f>
        <v>13804.789999999999</v>
      </c>
      <c r="C71" s="7">
        <f>(C70)+(0)</f>
        <v>-3968.3099999999995</v>
      </c>
      <c r="D71" s="7">
        <f>(D70)+(0)</f>
        <v>-3825.3400000000011</v>
      </c>
      <c r="E71" s="7">
        <f>(E70)+(0)</f>
        <v>-1427.0199999999995</v>
      </c>
      <c r="F71" s="7">
        <f>(F70)+(0)</f>
        <v>-5775.1299999999992</v>
      </c>
      <c r="G71" s="7">
        <f t="shared" si="1"/>
        <v>-1191.0100000000002</v>
      </c>
      <c r="H71" s="13"/>
    </row>
    <row r="72" spans="1:8" x14ac:dyDescent="0.25">
      <c r="A72" s="3"/>
      <c r="B72" s="4"/>
      <c r="C72" s="4"/>
      <c r="D72" s="4"/>
      <c r="E72" s="4"/>
      <c r="F72" s="4"/>
      <c r="G72" s="4"/>
    </row>
    <row r="75" spans="1:8" x14ac:dyDescent="0.25">
      <c r="A75" s="8" t="s">
        <v>72</v>
      </c>
      <c r="B75" s="9"/>
      <c r="C75" s="9"/>
      <c r="D75" s="9"/>
      <c r="E75" s="9"/>
      <c r="F75" s="9"/>
      <c r="G75" s="9"/>
    </row>
  </sheetData>
  <mergeCells count="4">
    <mergeCell ref="A75:G75"/>
    <mergeCell ref="A1:G1"/>
    <mergeCell ref="A2:G2"/>
    <mergeCell ref="A3:G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Statement of Activity by Month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fwalls</cp:lastModifiedBy>
  <dcterms:created xsi:type="dcterms:W3CDTF">2021-06-02T17:36:08Z</dcterms:created>
  <dcterms:modified xsi:type="dcterms:W3CDTF">2021-06-02T17:38:53Z</dcterms:modified>
</cp:coreProperties>
</file>