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135" windowHeight="9405"/>
  </bookViews>
  <sheets>
    <sheet name="Statement of Activity by Month" sheetId="1" r:id="rId1"/>
  </sheets>
  <calcPr calcId="145621"/>
</workbook>
</file>

<file path=xl/calcChain.xml><?xml version="1.0" encoding="utf-8"?>
<calcChain xmlns="http://schemas.openxmlformats.org/spreadsheetml/2006/main">
  <c r="F63" i="1" l="1"/>
  <c r="E63" i="1"/>
  <c r="D63" i="1"/>
  <c r="C63" i="1"/>
  <c r="B63" i="1"/>
  <c r="G63" i="1" s="1"/>
  <c r="F62" i="1"/>
  <c r="G62" i="1" s="1"/>
  <c r="E62" i="1"/>
  <c r="D62" i="1"/>
  <c r="C62" i="1"/>
  <c r="B62" i="1"/>
  <c r="F61" i="1"/>
  <c r="E61" i="1"/>
  <c r="D61" i="1"/>
  <c r="G61" i="1" s="1"/>
  <c r="C61" i="1"/>
  <c r="B61" i="1"/>
  <c r="F60" i="1"/>
  <c r="F64" i="1" s="1"/>
  <c r="E60" i="1"/>
  <c r="E64" i="1" s="1"/>
  <c r="D60" i="1"/>
  <c r="D64" i="1" s="1"/>
  <c r="C60" i="1"/>
  <c r="C64" i="1" s="1"/>
  <c r="B60" i="1"/>
  <c r="G60" i="1" s="1"/>
  <c r="F58" i="1"/>
  <c r="G58" i="1" s="1"/>
  <c r="E58" i="1"/>
  <c r="D58" i="1"/>
  <c r="C58" i="1"/>
  <c r="B58" i="1"/>
  <c r="F57" i="1"/>
  <c r="E57" i="1"/>
  <c r="D57" i="1"/>
  <c r="G57" i="1" s="1"/>
  <c r="C57" i="1"/>
  <c r="B57" i="1"/>
  <c r="F56" i="1"/>
  <c r="E56" i="1"/>
  <c r="D56" i="1"/>
  <c r="C56" i="1"/>
  <c r="B56" i="1"/>
  <c r="G56" i="1" s="1"/>
  <c r="F55" i="1"/>
  <c r="F59" i="1" s="1"/>
  <c r="E55" i="1"/>
  <c r="E59" i="1" s="1"/>
  <c r="D55" i="1"/>
  <c r="D59" i="1" s="1"/>
  <c r="C55" i="1"/>
  <c r="C59" i="1" s="1"/>
  <c r="B55" i="1"/>
  <c r="G55" i="1" s="1"/>
  <c r="F54" i="1"/>
  <c r="F53" i="1"/>
  <c r="E53" i="1"/>
  <c r="D53" i="1"/>
  <c r="G53" i="1" s="1"/>
  <c r="C53" i="1"/>
  <c r="B53" i="1"/>
  <c r="F52" i="1"/>
  <c r="E52" i="1"/>
  <c r="E54" i="1" s="1"/>
  <c r="D52" i="1"/>
  <c r="D54" i="1" s="1"/>
  <c r="C52" i="1"/>
  <c r="C54" i="1" s="1"/>
  <c r="B52" i="1"/>
  <c r="G52" i="1" s="1"/>
  <c r="F51" i="1"/>
  <c r="E51" i="1"/>
  <c r="D51" i="1"/>
  <c r="C51" i="1"/>
  <c r="B51" i="1"/>
  <c r="G51" i="1" s="1"/>
  <c r="F49" i="1"/>
  <c r="E49" i="1"/>
  <c r="D49" i="1"/>
  <c r="G49" i="1" s="1"/>
  <c r="C49" i="1"/>
  <c r="B49" i="1"/>
  <c r="F48" i="1"/>
  <c r="E48" i="1"/>
  <c r="D48" i="1"/>
  <c r="C48" i="1"/>
  <c r="B48" i="1"/>
  <c r="G48" i="1" s="1"/>
  <c r="F47" i="1"/>
  <c r="E47" i="1"/>
  <c r="D47" i="1"/>
  <c r="C47" i="1"/>
  <c r="B47" i="1"/>
  <c r="G47" i="1" s="1"/>
  <c r="F46" i="1"/>
  <c r="F50" i="1" s="1"/>
  <c r="E46" i="1"/>
  <c r="E50" i="1" s="1"/>
  <c r="D46" i="1"/>
  <c r="D50" i="1" s="1"/>
  <c r="C46" i="1"/>
  <c r="C50" i="1" s="1"/>
  <c r="B46" i="1"/>
  <c r="B50" i="1" s="1"/>
  <c r="F45" i="1"/>
  <c r="E45" i="1"/>
  <c r="D45" i="1"/>
  <c r="F44" i="1"/>
  <c r="E44" i="1"/>
  <c r="D44" i="1"/>
  <c r="C44" i="1"/>
  <c r="B44" i="1"/>
  <c r="G44" i="1" s="1"/>
  <c r="F43" i="1"/>
  <c r="E43" i="1"/>
  <c r="D43" i="1"/>
  <c r="C43" i="1"/>
  <c r="C45" i="1" s="1"/>
  <c r="B43" i="1"/>
  <c r="G43" i="1" s="1"/>
  <c r="F41" i="1"/>
  <c r="E41" i="1"/>
  <c r="D41" i="1"/>
  <c r="G41" i="1" s="1"/>
  <c r="C41" i="1"/>
  <c r="B41" i="1"/>
  <c r="F40" i="1"/>
  <c r="E40" i="1"/>
  <c r="D40" i="1"/>
  <c r="C40" i="1"/>
  <c r="B40" i="1"/>
  <c r="G40" i="1" s="1"/>
  <c r="F39" i="1"/>
  <c r="E39" i="1"/>
  <c r="D39" i="1"/>
  <c r="C39" i="1"/>
  <c r="B39" i="1"/>
  <c r="G39" i="1" s="1"/>
  <c r="F38" i="1"/>
  <c r="F42" i="1" s="1"/>
  <c r="E38" i="1"/>
  <c r="D38" i="1"/>
  <c r="C38" i="1"/>
  <c r="B38" i="1"/>
  <c r="B42" i="1" s="1"/>
  <c r="F37" i="1"/>
  <c r="E37" i="1"/>
  <c r="E42" i="1" s="1"/>
  <c r="D37" i="1"/>
  <c r="D42" i="1" s="1"/>
  <c r="C37" i="1"/>
  <c r="C42" i="1" s="1"/>
  <c r="B37" i="1"/>
  <c r="F36" i="1"/>
  <c r="E36" i="1"/>
  <c r="D36" i="1"/>
  <c r="C36" i="1"/>
  <c r="B36" i="1"/>
  <c r="G36" i="1" s="1"/>
  <c r="F35" i="1"/>
  <c r="E35" i="1"/>
  <c r="D35" i="1"/>
  <c r="C35" i="1"/>
  <c r="B35" i="1"/>
  <c r="G35" i="1" s="1"/>
  <c r="F34" i="1"/>
  <c r="F33" i="1"/>
  <c r="E33" i="1"/>
  <c r="D33" i="1"/>
  <c r="G33" i="1" s="1"/>
  <c r="C33" i="1"/>
  <c r="B33" i="1"/>
  <c r="F32" i="1"/>
  <c r="E32" i="1"/>
  <c r="E34" i="1" s="1"/>
  <c r="D32" i="1"/>
  <c r="C32" i="1"/>
  <c r="B32" i="1"/>
  <c r="G32" i="1" s="1"/>
  <c r="F31" i="1"/>
  <c r="E31" i="1"/>
  <c r="D31" i="1"/>
  <c r="D34" i="1" s="1"/>
  <c r="C31" i="1"/>
  <c r="C34" i="1" s="1"/>
  <c r="B31" i="1"/>
  <c r="G31" i="1" s="1"/>
  <c r="F30" i="1"/>
  <c r="G30" i="1" s="1"/>
  <c r="E30" i="1"/>
  <c r="D30" i="1"/>
  <c r="C30" i="1"/>
  <c r="B30" i="1"/>
  <c r="D29" i="1"/>
  <c r="F28" i="1"/>
  <c r="E28" i="1"/>
  <c r="D28" i="1"/>
  <c r="C28" i="1"/>
  <c r="B28" i="1"/>
  <c r="G28" i="1" s="1"/>
  <c r="F27" i="1"/>
  <c r="E27" i="1"/>
  <c r="D27" i="1"/>
  <c r="C27" i="1"/>
  <c r="B27" i="1"/>
  <c r="G27" i="1" s="1"/>
  <c r="F26" i="1"/>
  <c r="G26" i="1" s="1"/>
  <c r="E26" i="1"/>
  <c r="D26" i="1"/>
  <c r="C26" i="1"/>
  <c r="B26" i="1"/>
  <c r="F25" i="1"/>
  <c r="F29" i="1" s="1"/>
  <c r="E25" i="1"/>
  <c r="E29" i="1" s="1"/>
  <c r="D25" i="1"/>
  <c r="G25" i="1" s="1"/>
  <c r="C25" i="1"/>
  <c r="B25" i="1"/>
  <c r="F24" i="1"/>
  <c r="E24" i="1"/>
  <c r="D24" i="1"/>
  <c r="C24" i="1"/>
  <c r="C29" i="1" s="1"/>
  <c r="B24" i="1"/>
  <c r="B29" i="1" s="1"/>
  <c r="G29" i="1" s="1"/>
  <c r="F23" i="1"/>
  <c r="E23" i="1"/>
  <c r="D23" i="1"/>
  <c r="C23" i="1"/>
  <c r="B23" i="1"/>
  <c r="G23" i="1" s="1"/>
  <c r="F22" i="1"/>
  <c r="G22" i="1" s="1"/>
  <c r="E22" i="1"/>
  <c r="D22" i="1"/>
  <c r="C22" i="1"/>
  <c r="B22" i="1"/>
  <c r="F21" i="1"/>
  <c r="E21" i="1"/>
  <c r="D21" i="1"/>
  <c r="D65" i="1" s="1"/>
  <c r="C21" i="1"/>
  <c r="B21" i="1"/>
  <c r="F16" i="1"/>
  <c r="E16" i="1"/>
  <c r="D16" i="1"/>
  <c r="G16" i="1" s="1"/>
  <c r="C16" i="1"/>
  <c r="B16" i="1"/>
  <c r="F14" i="1"/>
  <c r="E14" i="1"/>
  <c r="D14" i="1"/>
  <c r="C14" i="1"/>
  <c r="B14" i="1"/>
  <c r="G14" i="1" s="1"/>
  <c r="F13" i="1"/>
  <c r="G13" i="1" s="1"/>
  <c r="E13" i="1"/>
  <c r="D13" i="1"/>
  <c r="C13" i="1"/>
  <c r="B13" i="1"/>
  <c r="F12" i="1"/>
  <c r="E12" i="1"/>
  <c r="D12" i="1"/>
  <c r="G12" i="1" s="1"/>
  <c r="C12" i="1"/>
  <c r="B12" i="1"/>
  <c r="F11" i="1"/>
  <c r="F15" i="1" s="1"/>
  <c r="E11" i="1"/>
  <c r="E15" i="1" s="1"/>
  <c r="D11" i="1"/>
  <c r="D15" i="1" s="1"/>
  <c r="C11" i="1"/>
  <c r="C15" i="1" s="1"/>
  <c r="B11" i="1"/>
  <c r="B15" i="1" s="1"/>
  <c r="F10" i="1"/>
  <c r="E10" i="1"/>
  <c r="D10" i="1"/>
  <c r="C10" i="1"/>
  <c r="B10" i="1"/>
  <c r="G10" i="1" s="1"/>
  <c r="F9" i="1"/>
  <c r="G9" i="1" s="1"/>
  <c r="E9" i="1"/>
  <c r="D9" i="1"/>
  <c r="C9" i="1"/>
  <c r="B9" i="1"/>
  <c r="F8" i="1"/>
  <c r="E8" i="1"/>
  <c r="D8" i="1"/>
  <c r="G8" i="1" s="1"/>
  <c r="C8" i="1"/>
  <c r="B8" i="1"/>
  <c r="F7" i="1"/>
  <c r="E7" i="1"/>
  <c r="D7" i="1"/>
  <c r="D17" i="1" s="1"/>
  <c r="D18" i="1" s="1"/>
  <c r="D19" i="1" s="1"/>
  <c r="C7" i="1"/>
  <c r="C17" i="1" s="1"/>
  <c r="C18" i="1" s="1"/>
  <c r="C19" i="1" s="1"/>
  <c r="B7" i="1"/>
  <c r="G7" i="1" s="1"/>
  <c r="E65" i="1" l="1"/>
  <c r="F65" i="1"/>
  <c r="D66" i="1"/>
  <c r="D67" i="1" s="1"/>
  <c r="G42" i="1"/>
  <c r="G50" i="1"/>
  <c r="E17" i="1"/>
  <c r="E18" i="1" s="1"/>
  <c r="E19" i="1" s="1"/>
  <c r="E66" i="1" s="1"/>
  <c r="E67" i="1" s="1"/>
  <c r="G15" i="1"/>
  <c r="C65" i="1"/>
  <c r="C66" i="1" s="1"/>
  <c r="C67" i="1" s="1"/>
  <c r="B64" i="1"/>
  <c r="G64" i="1" s="1"/>
  <c r="G38" i="1"/>
  <c r="G46" i="1"/>
  <c r="B59" i="1"/>
  <c r="G59" i="1" s="1"/>
  <c r="G21" i="1"/>
  <c r="G37" i="1"/>
  <c r="B17" i="1"/>
  <c r="B34" i="1"/>
  <c r="G34" i="1" s="1"/>
  <c r="B54" i="1"/>
  <c r="G54" i="1" s="1"/>
  <c r="G11" i="1"/>
  <c r="G24" i="1"/>
  <c r="F17" i="1"/>
  <c r="F18" i="1" s="1"/>
  <c r="F19" i="1" s="1"/>
  <c r="F66" i="1" s="1"/>
  <c r="F67" i="1" s="1"/>
  <c r="B45" i="1"/>
  <c r="G45" i="1" s="1"/>
  <c r="B18" i="1" l="1"/>
  <c r="G17" i="1"/>
  <c r="B65" i="1"/>
  <c r="G65" i="1" s="1"/>
  <c r="G18" i="1" l="1"/>
  <c r="B19" i="1"/>
  <c r="G19" i="1" l="1"/>
  <c r="B66" i="1"/>
  <c r="B67" i="1" l="1"/>
  <c r="G67" i="1" s="1"/>
  <c r="G66" i="1"/>
</calcChain>
</file>

<file path=xl/sharedStrings.xml><?xml version="1.0" encoding="utf-8"?>
<sst xmlns="http://schemas.openxmlformats.org/spreadsheetml/2006/main" count="77" uniqueCount="75">
  <si>
    <t>Jan 2022</t>
  </si>
  <si>
    <t>Feb 2022</t>
  </si>
  <si>
    <t>Mar 2022</t>
  </si>
  <si>
    <t>Apr 2022</t>
  </si>
  <si>
    <t>May 2022</t>
  </si>
  <si>
    <t>Total</t>
  </si>
  <si>
    <t>Revenue</t>
  </si>
  <si>
    <t xml:space="preserve">   Non-Profit Income</t>
  </si>
  <si>
    <t xml:space="preserve">      Donation of Expense Items</t>
  </si>
  <si>
    <t xml:space="preserve">      Flower Offerings</t>
  </si>
  <si>
    <t xml:space="preserve">      Interest Income</t>
  </si>
  <si>
    <t xml:space="preserve">      Offerings - Main Account</t>
  </si>
  <si>
    <t xml:space="preserve">         Offerings - ACH v1.00</t>
  </si>
  <si>
    <t xml:space="preserve">         Offerings Online Giving v1.00</t>
  </si>
  <si>
    <t xml:space="preserve">         Offerings Plate v1.00</t>
  </si>
  <si>
    <t xml:space="preserve">      Total Offerings - Main Account</t>
  </si>
  <si>
    <t xml:space="preserve">      Thrivent grant</t>
  </si>
  <si>
    <t xml:space="preserve">   Total Non-Profit Income</t>
  </si>
  <si>
    <t>Total Revenue</t>
  </si>
  <si>
    <t>Gross Profit</t>
  </si>
  <si>
    <t>Expenditures</t>
  </si>
  <si>
    <t xml:space="preserve">   Advertising &amp; Marketing</t>
  </si>
  <si>
    <t xml:space="preserve">   BENEVOLENCE</t>
  </si>
  <si>
    <t xml:space="preserve">   BUILDING EXPENSES</t>
  </si>
  <si>
    <t xml:space="preserve">   BUILDING SERVICES</t>
  </si>
  <si>
    <t xml:space="preserve">      Fire Alarm Monitoring</t>
  </si>
  <si>
    <t xml:space="preserve">      Lawn mowing &amp; related expenses</t>
  </si>
  <si>
    <t xml:space="preserve">      Snow removal &amp; custodial</t>
  </si>
  <si>
    <t xml:space="preserve">      Trash</t>
  </si>
  <si>
    <t xml:space="preserve">   Total BUILDING SERVICES</t>
  </si>
  <si>
    <t xml:space="preserve">   Conferences &amp; continuing ed</t>
  </si>
  <si>
    <t xml:space="preserve">   Insurance</t>
  </si>
  <si>
    <t xml:space="preserve">      Insurance</t>
  </si>
  <si>
    <t xml:space="preserve">      Workers' compensation</t>
  </si>
  <si>
    <t xml:space="preserve">   Total Insurance</t>
  </si>
  <si>
    <t xml:space="preserve">   Interest Paid</t>
  </si>
  <si>
    <t xml:space="preserve">   LIGHTHOUSE YOUTH MINISTRY</t>
  </si>
  <si>
    <t xml:space="preserve">   OFFICE</t>
  </si>
  <si>
    <t xml:space="preserve">      Accounting</t>
  </si>
  <si>
    <t xml:space="preserve">      Copier rental &amp; ink</t>
  </si>
  <si>
    <t xml:space="preserve">      Office supplies</t>
  </si>
  <si>
    <t xml:space="preserve">      Secretarial services</t>
  </si>
  <si>
    <t xml:space="preserve">   Total OFFICE</t>
  </si>
  <si>
    <t xml:space="preserve">   PARISH EDUCATION</t>
  </si>
  <si>
    <t xml:space="preserve">      Confirmation</t>
  </si>
  <si>
    <t xml:space="preserve">   Total PARISH EDUCATION</t>
  </si>
  <si>
    <t xml:space="preserve">   PASTORAL SUPPORT</t>
  </si>
  <si>
    <t xml:space="preserve">      Moving expenses</t>
  </si>
  <si>
    <t xml:space="preserve">      Pastor salary + taxes</t>
  </si>
  <si>
    <t xml:space="preserve">      Supply Pastor</t>
  </si>
  <si>
    <t xml:space="preserve">   Total PASTORAL SUPPORT</t>
  </si>
  <si>
    <t xml:space="preserve">   Taxes &amp; Licenses</t>
  </si>
  <si>
    <t xml:space="preserve">   Travel</t>
  </si>
  <si>
    <t xml:space="preserve">      Mileage</t>
  </si>
  <si>
    <t xml:space="preserve">   Total Travel</t>
  </si>
  <si>
    <t xml:space="preserve">   Utilities</t>
  </si>
  <si>
    <t xml:space="preserve">      Gas and electric</t>
  </si>
  <si>
    <t xml:space="preserve">      Phone/internet</t>
  </si>
  <si>
    <t xml:space="preserve">      Water &amp; sewer</t>
  </si>
  <si>
    <t xml:space="preserve">   Total Utilities</t>
  </si>
  <si>
    <t xml:space="preserve">   Worship &amp; Music</t>
  </si>
  <si>
    <t xml:space="preserve">      Flowers</t>
  </si>
  <si>
    <t xml:space="preserve">      Organist</t>
  </si>
  <si>
    <t xml:space="preserve">      Worship supplies</t>
  </si>
  <si>
    <t xml:space="preserve">   Total Worship &amp; Music</t>
  </si>
  <si>
    <t>Total Expenditures</t>
  </si>
  <si>
    <t>Net Operating Revenue</t>
  </si>
  <si>
    <t>Net Revenue</t>
  </si>
  <si>
    <t>Thursday, Jun 16, 2022 08:15:30 AM GMT-7 - Cash Basis</t>
  </si>
  <si>
    <t>Christ the King Church - Port Washington</t>
  </si>
  <si>
    <t>Statement of Activity by Month</t>
  </si>
  <si>
    <t>January - May, 2022</t>
  </si>
  <si>
    <t>2022 budget</t>
  </si>
  <si>
    <t>incl below</t>
  </si>
  <si>
    <t>incl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</si>
</sst>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  <family val="2"/>
    </font>
    <font>
      <sz val="9"/>
      <color theme="1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6" fontId="7" fillId="0" borderId="0" xfId="0" applyNumberFormat="1" applyFont="1"/>
    <xf numFmtId="44" fontId="8" fillId="0" borderId="4" xfId="0" applyNumberFormat="1" applyFont="1" applyBorder="1"/>
    <xf numFmtId="44" fontId="8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 applyAlignment="1"/>
    <xf numFmtId="166" fontId="9" fillId="0" borderId="4" xfId="0" applyNumberFormat="1" applyFont="1" applyBorder="1"/>
    <xf numFmtId="166" fontId="7" fillId="0" borderId="0" xfId="0" applyNumberFormat="1" applyFont="1" applyBorder="1"/>
    <xf numFmtId="166" fontId="9" fillId="0" borderId="0" xfId="0" applyNumberFormat="1" applyFont="1" applyBorder="1"/>
    <xf numFmtId="166" fontId="9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B1" workbookViewId="0">
      <selection activeCell="H1" sqref="H1:I1048576"/>
    </sheetView>
  </sheetViews>
  <sheetFormatPr defaultRowHeight="15" x14ac:dyDescent="0.25"/>
  <cols>
    <col min="1" max="1" width="33.5703125" customWidth="1"/>
    <col min="2" max="7" width="10.28515625" customWidth="1"/>
    <col min="8" max="8" width="9.85546875" bestFit="1" customWidth="1"/>
  </cols>
  <sheetData>
    <row r="1" spans="1:8" ht="18" x14ac:dyDescent="0.25">
      <c r="A1" s="10" t="s">
        <v>69</v>
      </c>
      <c r="B1" s="9"/>
      <c r="C1" s="9"/>
      <c r="D1" s="9"/>
      <c r="E1" s="9"/>
      <c r="F1" s="9"/>
      <c r="G1" s="9"/>
    </row>
    <row r="2" spans="1:8" ht="18" x14ac:dyDescent="0.25">
      <c r="A2" s="10" t="s">
        <v>70</v>
      </c>
      <c r="B2" s="9"/>
      <c r="C2" s="9"/>
      <c r="D2" s="9"/>
      <c r="E2" s="9"/>
      <c r="F2" s="9"/>
      <c r="G2" s="9"/>
    </row>
    <row r="3" spans="1:8" x14ac:dyDescent="0.25">
      <c r="A3" s="11" t="s">
        <v>71</v>
      </c>
      <c r="B3" s="9"/>
      <c r="C3" s="9"/>
      <c r="D3" s="9"/>
      <c r="E3" s="9"/>
      <c r="F3" s="9"/>
      <c r="G3" s="9"/>
    </row>
    <row r="5" spans="1:8" ht="24.75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12" t="s">
        <v>72</v>
      </c>
    </row>
    <row r="6" spans="1:8" x14ac:dyDescent="0.25">
      <c r="A6" s="3" t="s">
        <v>6</v>
      </c>
      <c r="B6" s="4"/>
      <c r="C6" s="4"/>
      <c r="D6" s="4"/>
      <c r="E6" s="4"/>
      <c r="F6" s="4"/>
      <c r="G6" s="4"/>
    </row>
    <row r="7" spans="1:8" x14ac:dyDescent="0.25">
      <c r="A7" s="3" t="s">
        <v>7</v>
      </c>
      <c r="B7" s="5">
        <f>0</f>
        <v>0</v>
      </c>
      <c r="C7" s="5">
        <f>0</f>
        <v>0</v>
      </c>
      <c r="D7" s="5">
        <f>0</f>
        <v>0</v>
      </c>
      <c r="E7" s="5">
        <f>0</f>
        <v>0</v>
      </c>
      <c r="F7" s="5">
        <f>0</f>
        <v>0</v>
      </c>
      <c r="G7" s="5">
        <f t="shared" ref="G7:G19" si="0">((((B7)+(C7))+(D7))+(E7))+(F7)</f>
        <v>0</v>
      </c>
    </row>
    <row r="8" spans="1:8" x14ac:dyDescent="0.25">
      <c r="A8" s="3" t="s">
        <v>8</v>
      </c>
      <c r="B8" s="5">
        <f>0</f>
        <v>0</v>
      </c>
      <c r="C8" s="5">
        <f>0</f>
        <v>0</v>
      </c>
      <c r="D8" s="5">
        <f>0</f>
        <v>0</v>
      </c>
      <c r="E8" s="5">
        <f>0</f>
        <v>0</v>
      </c>
      <c r="F8" s="5">
        <f>494.8</f>
        <v>494.8</v>
      </c>
      <c r="G8" s="5">
        <f t="shared" si="0"/>
        <v>494.8</v>
      </c>
      <c r="H8" s="13">
        <v>2000</v>
      </c>
    </row>
    <row r="9" spans="1:8" x14ac:dyDescent="0.25">
      <c r="A9" s="3" t="s">
        <v>9</v>
      </c>
      <c r="B9" s="5">
        <f>70</f>
        <v>70</v>
      </c>
      <c r="C9" s="5">
        <f>10</f>
        <v>10</v>
      </c>
      <c r="D9" s="5">
        <f>0</f>
        <v>0</v>
      </c>
      <c r="E9" s="5">
        <f>104</f>
        <v>104</v>
      </c>
      <c r="F9" s="5">
        <f>16</f>
        <v>16</v>
      </c>
      <c r="G9" s="5">
        <f t="shared" si="0"/>
        <v>200</v>
      </c>
      <c r="H9" s="13">
        <v>200</v>
      </c>
    </row>
    <row r="10" spans="1:8" x14ac:dyDescent="0.25">
      <c r="A10" s="3" t="s">
        <v>10</v>
      </c>
      <c r="B10" s="5">
        <f>3.26</f>
        <v>3.26</v>
      </c>
      <c r="C10" s="5">
        <f>2.88</f>
        <v>2.88</v>
      </c>
      <c r="D10" s="5">
        <f>3.37</f>
        <v>3.37</v>
      </c>
      <c r="E10" s="5">
        <f>3.6</f>
        <v>3.6</v>
      </c>
      <c r="F10" s="5">
        <f>3.75</f>
        <v>3.75</v>
      </c>
      <c r="G10" s="5">
        <f t="shared" si="0"/>
        <v>16.86</v>
      </c>
      <c r="H10" s="13">
        <v>100</v>
      </c>
    </row>
    <row r="11" spans="1:8" x14ac:dyDescent="0.25">
      <c r="A11" s="3" t="s">
        <v>11</v>
      </c>
      <c r="B11" s="5">
        <f>0</f>
        <v>0</v>
      </c>
      <c r="C11" s="5">
        <f>0</f>
        <v>0</v>
      </c>
      <c r="D11" s="5">
        <f>0</f>
        <v>0</v>
      </c>
      <c r="E11" s="5">
        <f>0</f>
        <v>0</v>
      </c>
      <c r="F11" s="5">
        <f>0</f>
        <v>0</v>
      </c>
      <c r="G11" s="5">
        <f t="shared" si="0"/>
        <v>0</v>
      </c>
      <c r="H11" s="13"/>
    </row>
    <row r="12" spans="1:8" x14ac:dyDescent="0.25">
      <c r="A12" s="3" t="s">
        <v>12</v>
      </c>
      <c r="B12" s="5">
        <f>250</f>
        <v>250</v>
      </c>
      <c r="C12" s="5">
        <f>250</f>
        <v>250</v>
      </c>
      <c r="D12" s="5">
        <f>250</f>
        <v>250</v>
      </c>
      <c r="E12" s="5">
        <f>250</f>
        <v>250</v>
      </c>
      <c r="F12" s="5">
        <f>250</f>
        <v>250</v>
      </c>
      <c r="G12" s="5">
        <f t="shared" si="0"/>
        <v>1250</v>
      </c>
      <c r="H12" s="13" t="s">
        <v>73</v>
      </c>
    </row>
    <row r="13" spans="1:8" x14ac:dyDescent="0.25">
      <c r="A13" s="3" t="s">
        <v>13</v>
      </c>
      <c r="B13" s="5">
        <f>1717.46</f>
        <v>1717.46</v>
      </c>
      <c r="C13" s="5">
        <f>2391.62</f>
        <v>2391.62</v>
      </c>
      <c r="D13" s="5">
        <f>4499.43</f>
        <v>4499.43</v>
      </c>
      <c r="E13" s="5">
        <f>1667.71</f>
        <v>1667.71</v>
      </c>
      <c r="F13" s="5">
        <f>2532.68</f>
        <v>2532.6799999999998</v>
      </c>
      <c r="G13" s="5">
        <f t="shared" si="0"/>
        <v>12808.900000000001</v>
      </c>
      <c r="H13" s="13" t="s">
        <v>73</v>
      </c>
    </row>
    <row r="14" spans="1:8" x14ac:dyDescent="0.25">
      <c r="A14" s="3" t="s">
        <v>14</v>
      </c>
      <c r="B14" s="5">
        <f>1630</f>
        <v>1630</v>
      </c>
      <c r="C14" s="5">
        <f>4120</f>
        <v>4120</v>
      </c>
      <c r="D14" s="5">
        <f>17905</f>
        <v>17905</v>
      </c>
      <c r="E14" s="5">
        <f>8982</f>
        <v>8982</v>
      </c>
      <c r="F14" s="5">
        <f>3600</f>
        <v>3600</v>
      </c>
      <c r="G14" s="5">
        <f t="shared" si="0"/>
        <v>36237</v>
      </c>
      <c r="H14" s="13" t="s">
        <v>73</v>
      </c>
    </row>
    <row r="15" spans="1:8" x14ac:dyDescent="0.25">
      <c r="A15" s="3" t="s">
        <v>15</v>
      </c>
      <c r="B15" s="6">
        <f>(((B11)+(B12))+(B13))+(B14)</f>
        <v>3597.46</v>
      </c>
      <c r="C15" s="6">
        <f>(((C11)+(C12))+(C13))+(C14)</f>
        <v>6761.62</v>
      </c>
      <c r="D15" s="6">
        <f>(((D11)+(D12))+(D13))+(D14)</f>
        <v>22654.43</v>
      </c>
      <c r="E15" s="6">
        <f>(((E11)+(E12))+(E13))+(E14)</f>
        <v>10899.71</v>
      </c>
      <c r="F15" s="6">
        <f>(((F11)+(F12))+(F13))+(F14)</f>
        <v>6382.68</v>
      </c>
      <c r="G15" s="6">
        <f t="shared" si="0"/>
        <v>50295.9</v>
      </c>
      <c r="H15" s="14">
        <v>97500</v>
      </c>
    </row>
    <row r="16" spans="1:8" x14ac:dyDescent="0.25">
      <c r="A16" s="3" t="s">
        <v>16</v>
      </c>
      <c r="B16" s="5">
        <f>0</f>
        <v>0</v>
      </c>
      <c r="C16" s="5">
        <f>0</f>
        <v>0</v>
      </c>
      <c r="D16" s="5">
        <f>176</f>
        <v>176</v>
      </c>
      <c r="E16" s="5">
        <f>0</f>
        <v>0</v>
      </c>
      <c r="F16" s="5">
        <f>0</f>
        <v>0</v>
      </c>
      <c r="G16" s="5">
        <f t="shared" si="0"/>
        <v>176</v>
      </c>
      <c r="H16" s="15"/>
    </row>
    <row r="17" spans="1:8" x14ac:dyDescent="0.25">
      <c r="A17" s="3" t="s">
        <v>17</v>
      </c>
      <c r="B17" s="6">
        <f>(((((B7)+(B8))+(B9))+(B10))+(B15))+(B16)</f>
        <v>3670.7200000000003</v>
      </c>
      <c r="C17" s="6">
        <f>(((((C7)+(C8))+(C9))+(C10))+(C15))+(C16)</f>
        <v>6774.5</v>
      </c>
      <c r="D17" s="6">
        <f>(((((D7)+(D8))+(D9))+(D10))+(D15))+(D16)</f>
        <v>22833.8</v>
      </c>
      <c r="E17" s="6">
        <f>(((((E7)+(E8))+(E9))+(E10))+(E15))+(E16)</f>
        <v>11007.31</v>
      </c>
      <c r="F17" s="6">
        <f>(((((F7)+(F8))+(F9))+(F10))+(F15))+(F16)</f>
        <v>6897.2300000000005</v>
      </c>
      <c r="G17" s="6">
        <f t="shared" si="0"/>
        <v>51183.560000000005</v>
      </c>
      <c r="H17" s="16">
        <v>100800</v>
      </c>
    </row>
    <row r="18" spans="1:8" x14ac:dyDescent="0.25">
      <c r="A18" s="3" t="s">
        <v>18</v>
      </c>
      <c r="B18" s="6">
        <f>B17</f>
        <v>3670.7200000000003</v>
      </c>
      <c r="C18" s="6">
        <f>C17</f>
        <v>6774.5</v>
      </c>
      <c r="D18" s="6">
        <f>D17</f>
        <v>22833.8</v>
      </c>
      <c r="E18" s="6">
        <f>E17</f>
        <v>11007.31</v>
      </c>
      <c r="F18" s="6">
        <f>F17</f>
        <v>6897.2300000000005</v>
      </c>
      <c r="G18" s="6">
        <f t="shared" si="0"/>
        <v>51183.560000000005</v>
      </c>
      <c r="H18" s="13"/>
    </row>
    <row r="19" spans="1:8" x14ac:dyDescent="0.25">
      <c r="A19" s="3" t="s">
        <v>19</v>
      </c>
      <c r="B19" s="6">
        <f>(B18)-(0)</f>
        <v>3670.7200000000003</v>
      </c>
      <c r="C19" s="6">
        <f>(C18)-(0)</f>
        <v>6774.5</v>
      </c>
      <c r="D19" s="6">
        <f>(D18)-(0)</f>
        <v>22833.8</v>
      </c>
      <c r="E19" s="6">
        <f>(E18)-(0)</f>
        <v>11007.31</v>
      </c>
      <c r="F19" s="6">
        <f>(F18)-(0)</f>
        <v>6897.2300000000005</v>
      </c>
      <c r="G19" s="6">
        <f t="shared" si="0"/>
        <v>51183.560000000005</v>
      </c>
      <c r="H19" s="16">
        <v>100800</v>
      </c>
    </row>
    <row r="20" spans="1:8" x14ac:dyDescent="0.25">
      <c r="A20" s="3" t="s">
        <v>20</v>
      </c>
      <c r="B20" s="4"/>
      <c r="C20" s="4"/>
      <c r="D20" s="4"/>
      <c r="E20" s="4"/>
      <c r="F20" s="4"/>
      <c r="G20" s="4"/>
      <c r="H20" s="13"/>
    </row>
    <row r="21" spans="1:8" x14ac:dyDescent="0.25">
      <c r="A21" s="3" t="s">
        <v>21</v>
      </c>
      <c r="B21" s="5">
        <f>190</f>
        <v>190</v>
      </c>
      <c r="C21" s="5">
        <f>60</f>
        <v>60</v>
      </c>
      <c r="D21" s="5">
        <f>0</f>
        <v>0</v>
      </c>
      <c r="E21" s="5">
        <f>0</f>
        <v>0</v>
      </c>
      <c r="F21" s="5">
        <f>320</f>
        <v>320</v>
      </c>
      <c r="G21" s="5">
        <f t="shared" ref="G21:G67" si="1">((((B21)+(C21))+(D21))+(E21))+(F21)</f>
        <v>570</v>
      </c>
      <c r="H21" s="13">
        <v>750</v>
      </c>
    </row>
    <row r="22" spans="1:8" x14ac:dyDescent="0.25">
      <c r="A22" s="3" t="s">
        <v>22</v>
      </c>
      <c r="B22" s="5">
        <f>325</f>
        <v>325</v>
      </c>
      <c r="C22" s="5">
        <f>325</f>
        <v>325</v>
      </c>
      <c r="D22" s="5">
        <f>325</f>
        <v>325</v>
      </c>
      <c r="E22" s="5">
        <f>325</f>
        <v>325</v>
      </c>
      <c r="F22" s="5">
        <f>325</f>
        <v>325</v>
      </c>
      <c r="G22" s="5">
        <f t="shared" si="1"/>
        <v>1625</v>
      </c>
      <c r="H22" s="13">
        <v>3900</v>
      </c>
    </row>
    <row r="23" spans="1:8" x14ac:dyDescent="0.25">
      <c r="A23" s="3" t="s">
        <v>23</v>
      </c>
      <c r="B23" s="5">
        <f>0</f>
        <v>0</v>
      </c>
      <c r="C23" s="5">
        <f>0</f>
        <v>0</v>
      </c>
      <c r="D23" s="5">
        <f>0</f>
        <v>0</v>
      </c>
      <c r="E23" s="5">
        <f>36.46</f>
        <v>36.46</v>
      </c>
      <c r="F23" s="5">
        <f>0</f>
        <v>0</v>
      </c>
      <c r="G23" s="5">
        <f t="shared" si="1"/>
        <v>36.46</v>
      </c>
      <c r="H23" s="13">
        <v>2000</v>
      </c>
    </row>
    <row r="24" spans="1:8" x14ac:dyDescent="0.25">
      <c r="A24" s="3" t="s">
        <v>24</v>
      </c>
      <c r="B24" s="5">
        <f>0</f>
        <v>0</v>
      </c>
      <c r="C24" s="5">
        <f>0</f>
        <v>0</v>
      </c>
      <c r="D24" s="5">
        <f>0</f>
        <v>0</v>
      </c>
      <c r="E24" s="5">
        <f>0</f>
        <v>0</v>
      </c>
      <c r="F24" s="5">
        <f>0</f>
        <v>0</v>
      </c>
      <c r="G24" s="5">
        <f t="shared" si="1"/>
        <v>0</v>
      </c>
      <c r="H24" s="13"/>
    </row>
    <row r="25" spans="1:8" x14ac:dyDescent="0.25">
      <c r="A25" s="3" t="s">
        <v>25</v>
      </c>
      <c r="B25" s="5">
        <f>600</f>
        <v>600</v>
      </c>
      <c r="C25" s="5">
        <f>0</f>
        <v>0</v>
      </c>
      <c r="D25" s="5">
        <f>0</f>
        <v>0</v>
      </c>
      <c r="E25" s="5">
        <f>0</f>
        <v>0</v>
      </c>
      <c r="F25" s="5">
        <f>0</f>
        <v>0</v>
      </c>
      <c r="G25" s="5">
        <f t="shared" si="1"/>
        <v>600</v>
      </c>
      <c r="H25" s="13">
        <v>550</v>
      </c>
    </row>
    <row r="26" spans="1:8" x14ac:dyDescent="0.25">
      <c r="A26" s="3" t="s">
        <v>26</v>
      </c>
      <c r="B26" s="5">
        <f>0</f>
        <v>0</v>
      </c>
      <c r="C26" s="5">
        <f>0</f>
        <v>0</v>
      </c>
      <c r="D26" s="5">
        <f>0</f>
        <v>0</v>
      </c>
      <c r="E26" s="5">
        <f>147</f>
        <v>147</v>
      </c>
      <c r="F26" s="5">
        <f>494.8</f>
        <v>494.8</v>
      </c>
      <c r="G26" s="5">
        <f t="shared" si="1"/>
        <v>641.79999999999995</v>
      </c>
      <c r="H26" s="13">
        <v>2000</v>
      </c>
    </row>
    <row r="27" spans="1:8" x14ac:dyDescent="0.25">
      <c r="A27" s="3" t="s">
        <v>27</v>
      </c>
      <c r="B27" s="5">
        <f>50</f>
        <v>50</v>
      </c>
      <c r="C27" s="5">
        <f>100</f>
        <v>100</v>
      </c>
      <c r="D27" s="5">
        <f>705</f>
        <v>705</v>
      </c>
      <c r="E27" s="5">
        <f>925</f>
        <v>925</v>
      </c>
      <c r="F27" s="5">
        <f>0</f>
        <v>0</v>
      </c>
      <c r="G27" s="5">
        <f t="shared" si="1"/>
        <v>1780</v>
      </c>
      <c r="H27" s="17">
        <v>2500</v>
      </c>
    </row>
    <row r="28" spans="1:8" x14ac:dyDescent="0.25">
      <c r="A28" s="3" t="s">
        <v>28</v>
      </c>
      <c r="B28" s="5">
        <f>0</f>
        <v>0</v>
      </c>
      <c r="C28" s="5">
        <f>78.3</f>
        <v>78.3</v>
      </c>
      <c r="D28" s="5">
        <f>0</f>
        <v>0</v>
      </c>
      <c r="E28" s="5">
        <f>170.62</f>
        <v>170.62</v>
      </c>
      <c r="F28" s="5">
        <f>0</f>
        <v>0</v>
      </c>
      <c r="G28" s="5">
        <f t="shared" si="1"/>
        <v>248.92000000000002</v>
      </c>
      <c r="H28" s="17">
        <v>313.2</v>
      </c>
    </row>
    <row r="29" spans="1:8" x14ac:dyDescent="0.25">
      <c r="A29" s="3" t="s">
        <v>29</v>
      </c>
      <c r="B29" s="6">
        <f>((((B24)+(B25))+(B26))+(B27))+(B28)</f>
        <v>650</v>
      </c>
      <c r="C29" s="6">
        <f>((((C24)+(C25))+(C26))+(C27))+(C28)</f>
        <v>178.3</v>
      </c>
      <c r="D29" s="6">
        <f>((((D24)+(D25))+(D26))+(D27))+(D28)</f>
        <v>705</v>
      </c>
      <c r="E29" s="6">
        <f>((((E24)+(E25))+(E26))+(E27))+(E28)</f>
        <v>1242.6199999999999</v>
      </c>
      <c r="F29" s="6">
        <f>((((F24)+(F25))+(F26))+(F27))+(F28)</f>
        <v>494.8</v>
      </c>
      <c r="G29" s="6">
        <f t="shared" si="1"/>
        <v>3270.7200000000003</v>
      </c>
      <c r="H29" s="18"/>
    </row>
    <row r="30" spans="1:8" x14ac:dyDescent="0.25">
      <c r="A30" s="3" t="s">
        <v>30</v>
      </c>
      <c r="B30" s="5">
        <f>0</f>
        <v>0</v>
      </c>
      <c r="C30" s="5">
        <f>0</f>
        <v>0</v>
      </c>
      <c r="D30" s="5">
        <f>0</f>
        <v>0</v>
      </c>
      <c r="E30" s="5">
        <f>525</f>
        <v>525</v>
      </c>
      <c r="F30" s="5">
        <f>0</f>
        <v>0</v>
      </c>
      <c r="G30" s="5">
        <f t="shared" si="1"/>
        <v>525</v>
      </c>
      <c r="H30" s="19">
        <v>700</v>
      </c>
    </row>
    <row r="31" spans="1:8" x14ac:dyDescent="0.25">
      <c r="A31" s="3" t="s">
        <v>31</v>
      </c>
      <c r="B31" s="5">
        <f>0</f>
        <v>0</v>
      </c>
      <c r="C31" s="5">
        <f>0</f>
        <v>0</v>
      </c>
      <c r="D31" s="5">
        <f>0</f>
        <v>0</v>
      </c>
      <c r="E31" s="5">
        <f>0</f>
        <v>0</v>
      </c>
      <c r="F31" s="5">
        <f>0</f>
        <v>0</v>
      </c>
      <c r="G31" s="5">
        <f t="shared" si="1"/>
        <v>0</v>
      </c>
      <c r="H31" s="19"/>
    </row>
    <row r="32" spans="1:8" x14ac:dyDescent="0.25">
      <c r="A32" s="3" t="s">
        <v>32</v>
      </c>
      <c r="B32" s="5">
        <f>0</f>
        <v>0</v>
      </c>
      <c r="C32" s="5">
        <f>0</f>
        <v>0</v>
      </c>
      <c r="D32" s="5">
        <f>0</f>
        <v>0</v>
      </c>
      <c r="E32" s="5">
        <f>0</f>
        <v>0</v>
      </c>
      <c r="F32" s="5">
        <f>2694.5</f>
        <v>2694.5</v>
      </c>
      <c r="G32" s="5">
        <f t="shared" si="1"/>
        <v>2694.5</v>
      </c>
      <c r="H32" s="13">
        <v>5800</v>
      </c>
    </row>
    <row r="33" spans="1:8" x14ac:dyDescent="0.25">
      <c r="A33" s="3" t="s">
        <v>33</v>
      </c>
      <c r="B33" s="5">
        <f>491</f>
        <v>491</v>
      </c>
      <c r="C33" s="5">
        <f>0</f>
        <v>0</v>
      </c>
      <c r="D33" s="5">
        <f>349</f>
        <v>349</v>
      </c>
      <c r="E33" s="5">
        <f>0</f>
        <v>0</v>
      </c>
      <c r="F33" s="5">
        <f>0</f>
        <v>0</v>
      </c>
      <c r="G33" s="5">
        <f t="shared" si="1"/>
        <v>840</v>
      </c>
      <c r="H33" s="13">
        <v>750</v>
      </c>
    </row>
    <row r="34" spans="1:8" x14ac:dyDescent="0.25">
      <c r="A34" s="3" t="s">
        <v>34</v>
      </c>
      <c r="B34" s="6">
        <f>((B31)+(B32))+(B33)</f>
        <v>491</v>
      </c>
      <c r="C34" s="6">
        <f>((C31)+(C32))+(C33)</f>
        <v>0</v>
      </c>
      <c r="D34" s="6">
        <f>((D31)+(D32))+(D33)</f>
        <v>349</v>
      </c>
      <c r="E34" s="6">
        <f>((E31)+(E32))+(E33)</f>
        <v>0</v>
      </c>
      <c r="F34" s="6">
        <f>((F31)+(F32))+(F33)</f>
        <v>2694.5</v>
      </c>
      <c r="G34" s="6">
        <f t="shared" si="1"/>
        <v>3534.5</v>
      </c>
      <c r="H34" s="18">
        <v>6550</v>
      </c>
    </row>
    <row r="35" spans="1:8" x14ac:dyDescent="0.25">
      <c r="A35" s="3" t="s">
        <v>35</v>
      </c>
      <c r="B35" s="5">
        <f>586.95</f>
        <v>586.95000000000005</v>
      </c>
      <c r="C35" s="5">
        <f>585.06</f>
        <v>585.05999999999995</v>
      </c>
      <c r="D35" s="5">
        <f>526.62</f>
        <v>526.62</v>
      </c>
      <c r="E35" s="5">
        <f>580.83</f>
        <v>580.83000000000004</v>
      </c>
      <c r="F35" s="5">
        <f>560.31</f>
        <v>560.30999999999995</v>
      </c>
      <c r="G35" s="5">
        <f t="shared" si="1"/>
        <v>2839.77</v>
      </c>
      <c r="H35" s="13">
        <v>7000</v>
      </c>
    </row>
    <row r="36" spans="1:8" x14ac:dyDescent="0.25">
      <c r="A36" s="3" t="s">
        <v>36</v>
      </c>
      <c r="B36" s="5">
        <f>0</f>
        <v>0</v>
      </c>
      <c r="C36" s="5">
        <f>0</f>
        <v>0</v>
      </c>
      <c r="D36" s="5">
        <f>0</f>
        <v>0</v>
      </c>
      <c r="E36" s="5">
        <f>0</f>
        <v>0</v>
      </c>
      <c r="F36" s="5">
        <f>5000</f>
        <v>5000</v>
      </c>
      <c r="G36" s="5">
        <f t="shared" si="1"/>
        <v>5000</v>
      </c>
      <c r="H36" s="13">
        <v>5000</v>
      </c>
    </row>
    <row r="37" spans="1:8" x14ac:dyDescent="0.25">
      <c r="A37" s="3" t="s">
        <v>37</v>
      </c>
      <c r="B37" s="5">
        <f>0</f>
        <v>0</v>
      </c>
      <c r="C37" s="5">
        <f>0</f>
        <v>0</v>
      </c>
      <c r="D37" s="5">
        <f>0</f>
        <v>0</v>
      </c>
      <c r="E37" s="5">
        <f>0</f>
        <v>0</v>
      </c>
      <c r="F37" s="5">
        <f>0</f>
        <v>0</v>
      </c>
      <c r="G37" s="5">
        <f t="shared" si="1"/>
        <v>0</v>
      </c>
      <c r="H37" s="13"/>
    </row>
    <row r="38" spans="1:8" x14ac:dyDescent="0.25">
      <c r="A38" s="3" t="s">
        <v>38</v>
      </c>
      <c r="B38" s="5">
        <f>66.75</f>
        <v>66.75</v>
      </c>
      <c r="C38" s="5">
        <f>62</f>
        <v>62</v>
      </c>
      <c r="D38" s="5">
        <f>62</f>
        <v>62</v>
      </c>
      <c r="E38" s="5">
        <f>62</f>
        <v>62</v>
      </c>
      <c r="F38" s="5">
        <f>62</f>
        <v>62</v>
      </c>
      <c r="G38" s="5">
        <f t="shared" si="1"/>
        <v>314.75</v>
      </c>
      <c r="H38" s="13">
        <v>1000</v>
      </c>
    </row>
    <row r="39" spans="1:8" x14ac:dyDescent="0.25">
      <c r="A39" s="3" t="s">
        <v>39</v>
      </c>
      <c r="B39" s="5">
        <f>146.23</f>
        <v>146.22999999999999</v>
      </c>
      <c r="C39" s="5">
        <f>166.49</f>
        <v>166.49</v>
      </c>
      <c r="D39" s="5">
        <f>177.46</f>
        <v>177.46</v>
      </c>
      <c r="E39" s="5">
        <f>342.64</f>
        <v>342.64</v>
      </c>
      <c r="F39" s="5">
        <f>172.55</f>
        <v>172.55</v>
      </c>
      <c r="G39" s="5">
        <f t="shared" si="1"/>
        <v>1005.3700000000001</v>
      </c>
      <c r="H39" s="13">
        <v>1700</v>
      </c>
    </row>
    <row r="40" spans="1:8" x14ac:dyDescent="0.25">
      <c r="A40" s="3" t="s">
        <v>40</v>
      </c>
      <c r="B40" s="5">
        <f>60</f>
        <v>60</v>
      </c>
      <c r="C40" s="5">
        <f>85.8</f>
        <v>85.8</v>
      </c>
      <c r="D40" s="5">
        <f>118</f>
        <v>118</v>
      </c>
      <c r="E40" s="5">
        <f>81.06</f>
        <v>81.06</v>
      </c>
      <c r="F40" s="5">
        <f>179.88</f>
        <v>179.88</v>
      </c>
      <c r="G40" s="5">
        <f t="shared" si="1"/>
        <v>524.74</v>
      </c>
      <c r="H40" s="13">
        <v>750</v>
      </c>
    </row>
    <row r="41" spans="1:8" x14ac:dyDescent="0.25">
      <c r="A41" s="3" t="s">
        <v>41</v>
      </c>
      <c r="B41" s="5">
        <f>2099.18</f>
        <v>2099.1799999999998</v>
      </c>
      <c r="C41" s="5">
        <f>2171.84</f>
        <v>2171.84</v>
      </c>
      <c r="D41" s="5">
        <f>2171.83</f>
        <v>2171.83</v>
      </c>
      <c r="E41" s="5">
        <f>2103.2</f>
        <v>2103.1999999999998</v>
      </c>
      <c r="F41" s="5">
        <f>2054.78</f>
        <v>2054.7800000000002</v>
      </c>
      <c r="G41" s="5">
        <f t="shared" si="1"/>
        <v>10600.83</v>
      </c>
      <c r="H41" s="13">
        <v>21500</v>
      </c>
    </row>
    <row r="42" spans="1:8" x14ac:dyDescent="0.25">
      <c r="A42" s="3" t="s">
        <v>42</v>
      </c>
      <c r="B42" s="6">
        <f>((((B37)+(B38))+(B39))+(B40))+(B41)</f>
        <v>2372.16</v>
      </c>
      <c r="C42" s="6">
        <f>((((C37)+(C38))+(C39))+(C40))+(C41)</f>
        <v>2486.13</v>
      </c>
      <c r="D42" s="6">
        <f>((((D37)+(D38))+(D39))+(D40))+(D41)</f>
        <v>2529.29</v>
      </c>
      <c r="E42" s="6">
        <f>((((E37)+(E38))+(E39))+(E40))+(E41)</f>
        <v>2588.8999999999996</v>
      </c>
      <c r="F42" s="6">
        <f>((((F37)+(F38))+(F39))+(F40))+(F41)</f>
        <v>2469.21</v>
      </c>
      <c r="G42" s="6">
        <f t="shared" si="1"/>
        <v>12445.689999999999</v>
      </c>
      <c r="H42" s="18"/>
    </row>
    <row r="43" spans="1:8" x14ac:dyDescent="0.25">
      <c r="A43" s="3" t="s">
        <v>43</v>
      </c>
      <c r="B43" s="5">
        <f>0</f>
        <v>0</v>
      </c>
      <c r="C43" s="5">
        <f>0</f>
        <v>0</v>
      </c>
      <c r="D43" s="5">
        <f>0</f>
        <v>0</v>
      </c>
      <c r="E43" s="5">
        <f>0</f>
        <v>0</v>
      </c>
      <c r="F43" s="5">
        <f>0</f>
        <v>0</v>
      </c>
      <c r="G43" s="5">
        <f t="shared" si="1"/>
        <v>0</v>
      </c>
      <c r="H43" s="13"/>
    </row>
    <row r="44" spans="1:8" x14ac:dyDescent="0.25">
      <c r="A44" s="3" t="s">
        <v>44</v>
      </c>
      <c r="B44" s="5">
        <f>0</f>
        <v>0</v>
      </c>
      <c r="C44" s="5">
        <f>0</f>
        <v>0</v>
      </c>
      <c r="D44" s="5">
        <f>0</f>
        <v>0</v>
      </c>
      <c r="E44" s="5">
        <f>117.95</f>
        <v>117.95</v>
      </c>
      <c r="F44" s="5">
        <f>0</f>
        <v>0</v>
      </c>
      <c r="G44" s="5">
        <f t="shared" si="1"/>
        <v>117.95</v>
      </c>
      <c r="H44" s="13">
        <v>50</v>
      </c>
    </row>
    <row r="45" spans="1:8" x14ac:dyDescent="0.25">
      <c r="A45" s="3" t="s">
        <v>45</v>
      </c>
      <c r="B45" s="6">
        <f>(B43)+(B44)</f>
        <v>0</v>
      </c>
      <c r="C45" s="6">
        <f>(C43)+(C44)</f>
        <v>0</v>
      </c>
      <c r="D45" s="6">
        <f>(D43)+(D44)</f>
        <v>0</v>
      </c>
      <c r="E45" s="6">
        <f>(E43)+(E44)</f>
        <v>117.95</v>
      </c>
      <c r="F45" s="6">
        <f>(F43)+(F44)</f>
        <v>0</v>
      </c>
      <c r="G45" s="6">
        <f t="shared" si="1"/>
        <v>117.95</v>
      </c>
      <c r="H45" s="13"/>
    </row>
    <row r="46" spans="1:8" x14ac:dyDescent="0.25">
      <c r="A46" s="3" t="s">
        <v>46</v>
      </c>
      <c r="B46" s="5">
        <f>0</f>
        <v>0</v>
      </c>
      <c r="C46" s="5">
        <f>0</f>
        <v>0</v>
      </c>
      <c r="D46" s="5">
        <f>0</f>
        <v>0</v>
      </c>
      <c r="E46" s="5">
        <f>0</f>
        <v>0</v>
      </c>
      <c r="F46" s="5">
        <f>0</f>
        <v>0</v>
      </c>
      <c r="G46" s="5">
        <f t="shared" si="1"/>
        <v>0</v>
      </c>
      <c r="H46" s="13"/>
    </row>
    <row r="47" spans="1:8" x14ac:dyDescent="0.25">
      <c r="A47" s="3" t="s">
        <v>47</v>
      </c>
      <c r="B47" s="5">
        <f>0</f>
        <v>0</v>
      </c>
      <c r="C47" s="5">
        <f>0</f>
        <v>0</v>
      </c>
      <c r="D47" s="5">
        <f>0</f>
        <v>0</v>
      </c>
      <c r="E47" s="5">
        <f>0</f>
        <v>0</v>
      </c>
      <c r="F47" s="5">
        <f>2500</f>
        <v>2500</v>
      </c>
      <c r="G47" s="5">
        <f t="shared" si="1"/>
        <v>2500</v>
      </c>
      <c r="H47" s="13">
        <v>2500</v>
      </c>
    </row>
    <row r="48" spans="1:8" x14ac:dyDescent="0.25">
      <c r="A48" s="3" t="s">
        <v>48</v>
      </c>
      <c r="B48" s="5">
        <f>1680</f>
        <v>1680</v>
      </c>
      <c r="C48" s="5">
        <f>1680</f>
        <v>1680</v>
      </c>
      <c r="D48" s="5">
        <f>1680</f>
        <v>1680</v>
      </c>
      <c r="E48" s="5">
        <f>840</f>
        <v>840</v>
      </c>
      <c r="F48" s="5">
        <f>770</f>
        <v>770</v>
      </c>
      <c r="G48" s="5">
        <f t="shared" si="1"/>
        <v>6650</v>
      </c>
      <c r="H48" s="13">
        <v>35000</v>
      </c>
    </row>
    <row r="49" spans="1:8" x14ac:dyDescent="0.25">
      <c r="A49" s="3" t="s">
        <v>49</v>
      </c>
      <c r="B49" s="5">
        <f>0</f>
        <v>0</v>
      </c>
      <c r="C49" s="5">
        <f>0</f>
        <v>0</v>
      </c>
      <c r="D49" s="5">
        <f>175</f>
        <v>175</v>
      </c>
      <c r="E49" s="5">
        <f>525</f>
        <v>525</v>
      </c>
      <c r="F49" s="5">
        <f>325</f>
        <v>325</v>
      </c>
      <c r="G49" s="5">
        <f t="shared" si="1"/>
        <v>1025</v>
      </c>
      <c r="H49" s="13">
        <v>1200</v>
      </c>
    </row>
    <row r="50" spans="1:8" x14ac:dyDescent="0.25">
      <c r="A50" s="3" t="s">
        <v>50</v>
      </c>
      <c r="B50" s="6">
        <f>(((B46)+(B47))+(B48))+(B49)</f>
        <v>1680</v>
      </c>
      <c r="C50" s="6">
        <f>(((C46)+(C47))+(C48))+(C49)</f>
        <v>1680</v>
      </c>
      <c r="D50" s="6">
        <f>(((D46)+(D47))+(D48))+(D49)</f>
        <v>1855</v>
      </c>
      <c r="E50" s="6">
        <f>(((E46)+(E47))+(E48))+(E49)</f>
        <v>1365</v>
      </c>
      <c r="F50" s="6">
        <f>(((F46)+(F47))+(F48))+(F49)</f>
        <v>3595</v>
      </c>
      <c r="G50" s="6">
        <f t="shared" si="1"/>
        <v>10175</v>
      </c>
      <c r="H50" s="18"/>
    </row>
    <row r="51" spans="1:8" x14ac:dyDescent="0.25">
      <c r="A51" s="3" t="s">
        <v>51</v>
      </c>
      <c r="B51" s="5">
        <f>10</f>
        <v>10</v>
      </c>
      <c r="C51" s="5">
        <f>0</f>
        <v>0</v>
      </c>
      <c r="D51" s="5">
        <f>0</f>
        <v>0</v>
      </c>
      <c r="E51" s="5">
        <f>25</f>
        <v>25</v>
      </c>
      <c r="F51" s="5">
        <f>0</f>
        <v>0</v>
      </c>
      <c r="G51" s="5">
        <f t="shared" si="1"/>
        <v>35</v>
      </c>
      <c r="H51" s="13" t="s">
        <v>74</v>
      </c>
    </row>
    <row r="52" spans="1:8" x14ac:dyDescent="0.25">
      <c r="A52" s="3" t="s">
        <v>52</v>
      </c>
      <c r="B52" s="5">
        <f>0</f>
        <v>0</v>
      </c>
      <c r="C52" s="5">
        <f>0</f>
        <v>0</v>
      </c>
      <c r="D52" s="5">
        <f>0</f>
        <v>0</v>
      </c>
      <c r="E52" s="5">
        <f>0</f>
        <v>0</v>
      </c>
      <c r="F52" s="5">
        <f>0</f>
        <v>0</v>
      </c>
      <c r="G52" s="5">
        <f t="shared" si="1"/>
        <v>0</v>
      </c>
      <c r="H52" s="13"/>
    </row>
    <row r="53" spans="1:8" x14ac:dyDescent="0.25">
      <c r="A53" s="3" t="s">
        <v>53</v>
      </c>
      <c r="B53" s="5">
        <f>100.24</f>
        <v>100.24</v>
      </c>
      <c r="C53" s="5">
        <f>0</f>
        <v>0</v>
      </c>
      <c r="D53" s="5">
        <f>112.32</f>
        <v>112.32</v>
      </c>
      <c r="E53" s="5">
        <f>273.04</f>
        <v>273.04000000000002</v>
      </c>
      <c r="F53" s="5">
        <f>25</f>
        <v>25</v>
      </c>
      <c r="G53" s="5">
        <f t="shared" si="1"/>
        <v>510.6</v>
      </c>
      <c r="H53" s="13">
        <v>1000</v>
      </c>
    </row>
    <row r="54" spans="1:8" x14ac:dyDescent="0.25">
      <c r="A54" s="3" t="s">
        <v>54</v>
      </c>
      <c r="B54" s="6">
        <f>(B52)+(B53)</f>
        <v>100.24</v>
      </c>
      <c r="C54" s="6">
        <f>(C52)+(C53)</f>
        <v>0</v>
      </c>
      <c r="D54" s="6">
        <f>(D52)+(D53)</f>
        <v>112.32</v>
      </c>
      <c r="E54" s="6">
        <f>(E52)+(E53)</f>
        <v>273.04000000000002</v>
      </c>
      <c r="F54" s="6">
        <f>(F52)+(F53)</f>
        <v>25</v>
      </c>
      <c r="G54" s="6">
        <f t="shared" si="1"/>
        <v>510.6</v>
      </c>
      <c r="H54" s="18"/>
    </row>
    <row r="55" spans="1:8" x14ac:dyDescent="0.25">
      <c r="A55" s="3" t="s">
        <v>55</v>
      </c>
      <c r="B55" s="5">
        <f>0</f>
        <v>0</v>
      </c>
      <c r="C55" s="5">
        <f>0</f>
        <v>0</v>
      </c>
      <c r="D55" s="5">
        <f>0</f>
        <v>0</v>
      </c>
      <c r="E55" s="5">
        <f>0</f>
        <v>0</v>
      </c>
      <c r="F55" s="5">
        <f>0</f>
        <v>0</v>
      </c>
      <c r="G55" s="5">
        <f t="shared" si="1"/>
        <v>0</v>
      </c>
      <c r="H55" s="13"/>
    </row>
    <row r="56" spans="1:8" x14ac:dyDescent="0.25">
      <c r="A56" s="3" t="s">
        <v>56</v>
      </c>
      <c r="B56" s="5">
        <f>1038.38</f>
        <v>1038.3800000000001</v>
      </c>
      <c r="C56" s="5">
        <f>0</f>
        <v>0</v>
      </c>
      <c r="D56" s="5">
        <f>2024.23</f>
        <v>2024.23</v>
      </c>
      <c r="E56" s="5">
        <f>869.74</f>
        <v>869.74</v>
      </c>
      <c r="F56" s="5">
        <f>602.4</f>
        <v>602.4</v>
      </c>
      <c r="G56" s="5">
        <f t="shared" si="1"/>
        <v>4534.75</v>
      </c>
      <c r="H56" s="13">
        <v>6000</v>
      </c>
    </row>
    <row r="57" spans="1:8" x14ac:dyDescent="0.25">
      <c r="A57" s="3" t="s">
        <v>57</v>
      </c>
      <c r="B57" s="5">
        <f>157</f>
        <v>157</v>
      </c>
      <c r="C57" s="5">
        <f>151.56</f>
        <v>151.56</v>
      </c>
      <c r="D57" s="5">
        <f>154.28</f>
        <v>154.28</v>
      </c>
      <c r="E57" s="5">
        <f>153.91</f>
        <v>153.91</v>
      </c>
      <c r="F57" s="5">
        <f>153.91</f>
        <v>153.91</v>
      </c>
      <c r="G57" s="5">
        <f t="shared" si="1"/>
        <v>770.66</v>
      </c>
      <c r="H57" s="13">
        <v>1800</v>
      </c>
    </row>
    <row r="58" spans="1:8" x14ac:dyDescent="0.25">
      <c r="A58" s="3" t="s">
        <v>58</v>
      </c>
      <c r="B58" s="5">
        <f>0</f>
        <v>0</v>
      </c>
      <c r="C58" s="5">
        <f>90.59</f>
        <v>90.59</v>
      </c>
      <c r="D58" s="5">
        <f>0</f>
        <v>0</v>
      </c>
      <c r="E58" s="5">
        <f>118.67</f>
        <v>118.67</v>
      </c>
      <c r="F58" s="5">
        <f>0</f>
        <v>0</v>
      </c>
      <c r="G58" s="5">
        <f t="shared" si="1"/>
        <v>209.26</v>
      </c>
      <c r="H58" s="17">
        <v>650</v>
      </c>
    </row>
    <row r="59" spans="1:8" x14ac:dyDescent="0.25">
      <c r="A59" s="3" t="s">
        <v>59</v>
      </c>
      <c r="B59" s="6">
        <f>(((B55)+(B56))+(B57))+(B58)</f>
        <v>1195.3800000000001</v>
      </c>
      <c r="C59" s="6">
        <f>(((C55)+(C56))+(C57))+(C58)</f>
        <v>242.15</v>
      </c>
      <c r="D59" s="6">
        <f>(((D55)+(D56))+(D57))+(D58)</f>
        <v>2178.5100000000002</v>
      </c>
      <c r="E59" s="6">
        <f>(((E55)+(E56))+(E57))+(E58)</f>
        <v>1142.32</v>
      </c>
      <c r="F59" s="6">
        <f>(((F55)+(F56))+(F57))+(F58)</f>
        <v>756.31</v>
      </c>
      <c r="G59" s="6">
        <f t="shared" si="1"/>
        <v>5514.67</v>
      </c>
      <c r="H59" s="18"/>
    </row>
    <row r="60" spans="1:8" x14ac:dyDescent="0.25">
      <c r="A60" s="3" t="s">
        <v>60</v>
      </c>
      <c r="B60" s="5">
        <f>0</f>
        <v>0</v>
      </c>
      <c r="C60" s="5">
        <f>0</f>
        <v>0</v>
      </c>
      <c r="D60" s="5">
        <f>0</f>
        <v>0</v>
      </c>
      <c r="E60" s="5">
        <f>0</f>
        <v>0</v>
      </c>
      <c r="F60" s="5">
        <f>0</f>
        <v>0</v>
      </c>
      <c r="G60" s="5">
        <f t="shared" si="1"/>
        <v>0</v>
      </c>
      <c r="H60" s="20"/>
    </row>
    <row r="61" spans="1:8" x14ac:dyDescent="0.25">
      <c r="A61" s="3" t="s">
        <v>61</v>
      </c>
      <c r="B61" s="5">
        <f>0</f>
        <v>0</v>
      </c>
      <c r="C61" s="5">
        <f>0</f>
        <v>0</v>
      </c>
      <c r="D61" s="5">
        <f>0</f>
        <v>0</v>
      </c>
      <c r="E61" s="5">
        <f>0</f>
        <v>0</v>
      </c>
      <c r="F61" s="5">
        <f>134.96</f>
        <v>134.96</v>
      </c>
      <c r="G61" s="5">
        <f t="shared" si="1"/>
        <v>134.96</v>
      </c>
      <c r="H61" s="13"/>
    </row>
    <row r="62" spans="1:8" x14ac:dyDescent="0.25">
      <c r="A62" s="3" t="s">
        <v>62</v>
      </c>
      <c r="B62" s="5">
        <f>0</f>
        <v>0</v>
      </c>
      <c r="C62" s="5">
        <f>0</f>
        <v>0</v>
      </c>
      <c r="D62" s="5">
        <f>236.83</f>
        <v>236.83</v>
      </c>
      <c r="E62" s="5">
        <f>236.82</f>
        <v>236.82</v>
      </c>
      <c r="F62" s="5">
        <f>0</f>
        <v>0</v>
      </c>
      <c r="G62" s="5">
        <f t="shared" si="1"/>
        <v>473.65</v>
      </c>
      <c r="H62" s="13">
        <v>3190</v>
      </c>
    </row>
    <row r="63" spans="1:8" x14ac:dyDescent="0.25">
      <c r="A63" s="3" t="s">
        <v>63</v>
      </c>
      <c r="B63" s="5">
        <f>49.94</f>
        <v>49.94</v>
      </c>
      <c r="C63" s="5">
        <f>109.99</f>
        <v>109.99</v>
      </c>
      <c r="D63" s="5">
        <f>103.8</f>
        <v>103.8</v>
      </c>
      <c r="E63" s="5">
        <f>62.91</f>
        <v>62.91</v>
      </c>
      <c r="F63" s="5">
        <f>51.97</f>
        <v>51.97</v>
      </c>
      <c r="G63" s="5">
        <f t="shared" si="1"/>
        <v>378.61</v>
      </c>
      <c r="H63" s="13">
        <v>2500</v>
      </c>
    </row>
    <row r="64" spans="1:8" x14ac:dyDescent="0.25">
      <c r="A64" s="3" t="s">
        <v>64</v>
      </c>
      <c r="B64" s="6">
        <f>(((B60)+(B61))+(B62))+(B63)</f>
        <v>49.94</v>
      </c>
      <c r="C64" s="6">
        <f>(((C60)+(C61))+(C62))+(C63)</f>
        <v>109.99</v>
      </c>
      <c r="D64" s="6">
        <f>(((D60)+(D61))+(D62))+(D63)</f>
        <v>340.63</v>
      </c>
      <c r="E64" s="6">
        <f>(((E60)+(E61))+(E62))+(E63)</f>
        <v>299.73</v>
      </c>
      <c r="F64" s="6">
        <f>(((F60)+(F61))+(F62))+(F63)</f>
        <v>186.93</v>
      </c>
      <c r="G64" s="6">
        <f t="shared" si="1"/>
        <v>987.22</v>
      </c>
      <c r="H64" s="21"/>
    </row>
    <row r="65" spans="1:8" x14ac:dyDescent="0.25">
      <c r="A65" s="3" t="s">
        <v>65</v>
      </c>
      <c r="B65" s="6">
        <f>((((((((((((((B21)+(B22))+(B23))+(B29))+(B30))+(B34))+(B35))+(B36))+(B42))+(B45))+(B50))+(B51))+(B54))+(B59))+(B64)</f>
        <v>7650.6699999999992</v>
      </c>
      <c r="C65" s="6">
        <f>((((((((((((((C21)+(C22))+(C23))+(C29))+(C30))+(C34))+(C35))+(C36))+(C42))+(C45))+(C50))+(C51))+(C54))+(C59))+(C64)</f>
        <v>5666.6299999999992</v>
      </c>
      <c r="D65" s="6">
        <f>((((((((((((((D21)+(D22))+(D23))+(D29))+(D30))+(D34))+(D35))+(D36))+(D42))+(D45))+(D50))+(D51))+(D54))+(D59))+(D64)</f>
        <v>8921.369999999999</v>
      </c>
      <c r="E65" s="6">
        <f>((((((((((((((E21)+(E22))+(E23))+(E29))+(E30))+(E34))+(E35))+(E36))+(E42))+(E45))+(E50))+(E51))+(E54))+(E59))+(E64)</f>
        <v>8521.8499999999985</v>
      </c>
      <c r="F65" s="6">
        <f>((((((((((((((F21)+(F22))+(F23))+(F29))+(F30))+(F34))+(F35))+(F36))+(F42))+(F45))+(F50))+(F51))+(F54))+(F59))+(F64)</f>
        <v>16427.059999999998</v>
      </c>
      <c r="G65" s="6">
        <f t="shared" si="1"/>
        <v>47187.579999999994</v>
      </c>
      <c r="H65" s="21">
        <v>174935.2</v>
      </c>
    </row>
    <row r="66" spans="1:8" x14ac:dyDescent="0.25">
      <c r="A66" s="3" t="s">
        <v>66</v>
      </c>
      <c r="B66" s="6">
        <f>(B19)-(B65)</f>
        <v>-3979.9499999999989</v>
      </c>
      <c r="C66" s="6">
        <f>(C19)-(C65)</f>
        <v>1107.8700000000008</v>
      </c>
      <c r="D66" s="6">
        <f>(D19)-(D65)</f>
        <v>13912.43</v>
      </c>
      <c r="E66" s="6">
        <f>(E19)-(E65)</f>
        <v>2485.4600000000009</v>
      </c>
      <c r="F66" s="6">
        <f>(F19)-(F65)</f>
        <v>-9529.8299999999981</v>
      </c>
      <c r="G66" s="6">
        <f t="shared" si="1"/>
        <v>3995.980000000005</v>
      </c>
      <c r="H66" s="18">
        <v>-74153.2</v>
      </c>
    </row>
    <row r="67" spans="1:8" x14ac:dyDescent="0.25">
      <c r="A67" s="3" t="s">
        <v>67</v>
      </c>
      <c r="B67" s="7">
        <f>(B66)+(0)</f>
        <v>-3979.9499999999989</v>
      </c>
      <c r="C67" s="7">
        <f>(C66)+(0)</f>
        <v>1107.8700000000008</v>
      </c>
      <c r="D67" s="7">
        <f>(D66)+(0)</f>
        <v>13912.43</v>
      </c>
      <c r="E67" s="7">
        <f>(E66)+(0)</f>
        <v>2485.4600000000009</v>
      </c>
      <c r="F67" s="7">
        <f>(F66)+(0)</f>
        <v>-9529.8299999999981</v>
      </c>
      <c r="G67" s="7">
        <f t="shared" si="1"/>
        <v>3995.980000000005</v>
      </c>
      <c r="H67" s="18">
        <v>-74153.2</v>
      </c>
    </row>
    <row r="68" spans="1:8" x14ac:dyDescent="0.25">
      <c r="A68" s="3"/>
      <c r="B68" s="4"/>
      <c r="C68" s="4"/>
      <c r="D68" s="4"/>
      <c r="E68" s="4"/>
      <c r="F68" s="4"/>
      <c r="G68" s="4"/>
    </row>
    <row r="71" spans="1:8" x14ac:dyDescent="0.25">
      <c r="A71" s="8" t="s">
        <v>68</v>
      </c>
      <c r="B71" s="9"/>
      <c r="C71" s="9"/>
      <c r="D71" s="9"/>
      <c r="E71" s="9"/>
      <c r="F71" s="9"/>
      <c r="G71" s="9"/>
    </row>
  </sheetData>
  <mergeCells count="4">
    <mergeCell ref="A71:G71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fwalls</cp:lastModifiedBy>
  <dcterms:created xsi:type="dcterms:W3CDTF">2022-06-16T15:15:30Z</dcterms:created>
  <dcterms:modified xsi:type="dcterms:W3CDTF">2022-06-16T15:16:42Z</dcterms:modified>
</cp:coreProperties>
</file>