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60" yWindow="1170" windowWidth="23460" windowHeight="10620"/>
  </bookViews>
  <sheets>
    <sheet name="Statement of Activity by Month" sheetId="1" r:id="rId1"/>
  </sheets>
  <calcPr calcId="145621"/>
</workbook>
</file>

<file path=xl/calcChain.xml><?xml version="1.0" encoding="utf-8"?>
<calcChain xmlns="http://schemas.openxmlformats.org/spreadsheetml/2006/main">
  <c r="I69" i="1" l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F70" i="1" s="1"/>
  <c r="E66" i="1"/>
  <c r="E70" i="1" s="1"/>
  <c r="D66" i="1"/>
  <c r="D70" i="1" s="1"/>
  <c r="C66" i="1"/>
  <c r="B66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I65" i="1" s="1"/>
  <c r="H61" i="1"/>
  <c r="H65" i="1" s="1"/>
  <c r="G61" i="1"/>
  <c r="G65" i="1" s="1"/>
  <c r="F61" i="1"/>
  <c r="E61" i="1"/>
  <c r="D61" i="1"/>
  <c r="C61" i="1"/>
  <c r="C65" i="1" s="1"/>
  <c r="B61" i="1"/>
  <c r="I59" i="1"/>
  <c r="H59" i="1"/>
  <c r="G59" i="1"/>
  <c r="F59" i="1"/>
  <c r="E59" i="1"/>
  <c r="D59" i="1"/>
  <c r="C59" i="1"/>
  <c r="B59" i="1"/>
  <c r="I58" i="1"/>
  <c r="H58" i="1"/>
  <c r="H60" i="1" s="1"/>
  <c r="G58" i="1"/>
  <c r="G60" i="1" s="1"/>
  <c r="F58" i="1"/>
  <c r="F60" i="1" s="1"/>
  <c r="E58" i="1"/>
  <c r="D58" i="1"/>
  <c r="D60" i="1" s="1"/>
  <c r="C58" i="1"/>
  <c r="B58" i="1"/>
  <c r="B60" i="1" s="1"/>
  <c r="I57" i="1"/>
  <c r="H57" i="1"/>
  <c r="G57" i="1"/>
  <c r="F57" i="1"/>
  <c r="E57" i="1"/>
  <c r="D57" i="1"/>
  <c r="C57" i="1"/>
  <c r="B57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1" i="1"/>
  <c r="I56" i="1" s="1"/>
  <c r="H51" i="1"/>
  <c r="G51" i="1"/>
  <c r="F51" i="1"/>
  <c r="E51" i="1"/>
  <c r="D51" i="1"/>
  <c r="D56" i="1" s="1"/>
  <c r="C51" i="1"/>
  <c r="B51" i="1"/>
  <c r="I49" i="1"/>
  <c r="H49" i="1"/>
  <c r="G49" i="1"/>
  <c r="F49" i="1"/>
  <c r="E49" i="1"/>
  <c r="D49" i="1"/>
  <c r="C49" i="1"/>
  <c r="B49" i="1"/>
  <c r="I48" i="1"/>
  <c r="I50" i="1" s="1"/>
  <c r="H48" i="1"/>
  <c r="G48" i="1"/>
  <c r="G50" i="1" s="1"/>
  <c r="F48" i="1"/>
  <c r="F50" i="1" s="1"/>
  <c r="E48" i="1"/>
  <c r="E50" i="1" s="1"/>
  <c r="D48" i="1"/>
  <c r="D50" i="1" s="1"/>
  <c r="C48" i="1"/>
  <c r="B48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E47" i="1" s="1"/>
  <c r="D42" i="1"/>
  <c r="C42" i="1"/>
  <c r="C47" i="1" s="1"/>
  <c r="B42" i="1"/>
  <c r="B47" i="1" s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I39" i="1" s="1"/>
  <c r="H36" i="1"/>
  <c r="H39" i="1" s="1"/>
  <c r="G36" i="1"/>
  <c r="F36" i="1"/>
  <c r="E36" i="1"/>
  <c r="E39" i="1" s="1"/>
  <c r="D36" i="1"/>
  <c r="D39" i="1" s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I32" i="1" s="1"/>
  <c r="H27" i="1"/>
  <c r="G27" i="1"/>
  <c r="F27" i="1"/>
  <c r="E27" i="1"/>
  <c r="D27" i="1"/>
  <c r="D32" i="1" s="1"/>
  <c r="C27" i="1"/>
  <c r="C32" i="1" s="1"/>
  <c r="B27" i="1"/>
  <c r="B32" i="1" s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I17" i="1" s="1"/>
  <c r="H13" i="1"/>
  <c r="H17" i="1" s="1"/>
  <c r="G13" i="1"/>
  <c r="G17" i="1" s="1"/>
  <c r="F13" i="1"/>
  <c r="F17" i="1" s="1"/>
  <c r="E13" i="1"/>
  <c r="D13" i="1"/>
  <c r="C13" i="1"/>
  <c r="B13" i="1"/>
  <c r="B17" i="1" s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B56" i="1" l="1"/>
  <c r="B70" i="1"/>
  <c r="C39" i="1"/>
  <c r="B65" i="1"/>
  <c r="B39" i="1"/>
  <c r="C56" i="1"/>
  <c r="J26" i="1"/>
  <c r="J34" i="1"/>
  <c r="J40" i="1"/>
  <c r="J41" i="1"/>
  <c r="J42" i="1"/>
  <c r="I47" i="1"/>
  <c r="H50" i="1"/>
  <c r="D65" i="1"/>
  <c r="D71" i="1" s="1"/>
  <c r="C70" i="1"/>
  <c r="H20" i="1"/>
  <c r="H21" i="1" s="1"/>
  <c r="H22" i="1" s="1"/>
  <c r="F32" i="1"/>
  <c r="J43" i="1"/>
  <c r="J44" i="1"/>
  <c r="J45" i="1"/>
  <c r="J46" i="1"/>
  <c r="H56" i="1"/>
  <c r="E65" i="1"/>
  <c r="G56" i="1"/>
  <c r="I20" i="1"/>
  <c r="I21" i="1" s="1"/>
  <c r="I22" i="1" s="1"/>
  <c r="G32" i="1"/>
  <c r="D47" i="1"/>
  <c r="J48" i="1"/>
  <c r="J49" i="1"/>
  <c r="B50" i="1"/>
  <c r="B71" i="1" s="1"/>
  <c r="F65" i="1"/>
  <c r="J7" i="1"/>
  <c r="J15" i="1"/>
  <c r="H32" i="1"/>
  <c r="F39" i="1"/>
  <c r="C50" i="1"/>
  <c r="J52" i="1"/>
  <c r="J53" i="1"/>
  <c r="J54" i="1"/>
  <c r="J55" i="1"/>
  <c r="G20" i="1"/>
  <c r="G21" i="1" s="1"/>
  <c r="G22" i="1" s="1"/>
  <c r="J11" i="1"/>
  <c r="J13" i="1"/>
  <c r="C17" i="1"/>
  <c r="C20" i="1" s="1"/>
  <c r="C21" i="1" s="1"/>
  <c r="C22" i="1" s="1"/>
  <c r="J18" i="1"/>
  <c r="J19" i="1"/>
  <c r="J24" i="1"/>
  <c r="J25" i="1"/>
  <c r="G39" i="1"/>
  <c r="J57" i="1"/>
  <c r="J58" i="1"/>
  <c r="I60" i="1"/>
  <c r="I71" i="1" s="1"/>
  <c r="I72" i="1" s="1"/>
  <c r="I73" i="1" s="1"/>
  <c r="G70" i="1"/>
  <c r="B20" i="1"/>
  <c r="B21" i="1" s="1"/>
  <c r="J14" i="1"/>
  <c r="D17" i="1"/>
  <c r="J28" i="1"/>
  <c r="J29" i="1"/>
  <c r="J30" i="1"/>
  <c r="J31" i="1"/>
  <c r="F47" i="1"/>
  <c r="C60" i="1"/>
  <c r="J59" i="1"/>
  <c r="H70" i="1"/>
  <c r="E32" i="1"/>
  <c r="J10" i="1"/>
  <c r="J16" i="1"/>
  <c r="E17" i="1"/>
  <c r="E20" i="1" s="1"/>
  <c r="E21" i="1" s="1"/>
  <c r="E22" i="1" s="1"/>
  <c r="J33" i="1"/>
  <c r="G47" i="1"/>
  <c r="E56" i="1"/>
  <c r="J62" i="1"/>
  <c r="J63" i="1"/>
  <c r="J64" i="1"/>
  <c r="I70" i="1"/>
  <c r="J8" i="1"/>
  <c r="J12" i="1"/>
  <c r="F20" i="1"/>
  <c r="F21" i="1" s="1"/>
  <c r="F22" i="1" s="1"/>
  <c r="J35" i="1"/>
  <c r="J37" i="1"/>
  <c r="J38" i="1"/>
  <c r="H47" i="1"/>
  <c r="F56" i="1"/>
  <c r="E60" i="1"/>
  <c r="J67" i="1"/>
  <c r="J68" i="1"/>
  <c r="J69" i="1"/>
  <c r="J50" i="1"/>
  <c r="J27" i="1"/>
  <c r="J51" i="1"/>
  <c r="J36" i="1"/>
  <c r="J9" i="1"/>
  <c r="J66" i="1"/>
  <c r="J61" i="1"/>
  <c r="F71" i="1" l="1"/>
  <c r="G71" i="1"/>
  <c r="G72" i="1" s="1"/>
  <c r="G73" i="1" s="1"/>
  <c r="J60" i="1"/>
  <c r="J39" i="1"/>
  <c r="J47" i="1"/>
  <c r="J65" i="1"/>
  <c r="J70" i="1"/>
  <c r="J17" i="1"/>
  <c r="J56" i="1"/>
  <c r="C71" i="1"/>
  <c r="C72" i="1" s="1"/>
  <c r="C73" i="1" s="1"/>
  <c r="E71" i="1"/>
  <c r="E72" i="1" s="1"/>
  <c r="E73" i="1" s="1"/>
  <c r="D20" i="1"/>
  <c r="D21" i="1" s="1"/>
  <c r="D22" i="1" s="1"/>
  <c r="D72" i="1" s="1"/>
  <c r="D73" i="1" s="1"/>
  <c r="J32" i="1"/>
  <c r="H71" i="1"/>
  <c r="H72" i="1" s="1"/>
  <c r="H73" i="1" s="1"/>
  <c r="F72" i="1"/>
  <c r="F73" i="1" s="1"/>
  <c r="B22" i="1"/>
  <c r="J21" i="1" l="1"/>
  <c r="J20" i="1"/>
  <c r="J71" i="1"/>
  <c r="B72" i="1"/>
  <c r="J22" i="1"/>
  <c r="B73" i="1" l="1"/>
  <c r="J73" i="1" s="1"/>
  <c r="J72" i="1"/>
</calcChain>
</file>

<file path=xl/sharedStrings.xml><?xml version="1.0" encoding="utf-8"?>
<sst xmlns="http://schemas.openxmlformats.org/spreadsheetml/2006/main" count="86" uniqueCount="84">
  <si>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</si>
  <si>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</si>
  <si>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</si>
  <si>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</si>
  <si>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</si>
  <si>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</si>
  <si>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</si>
  <si>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</si>
  <si>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Total</t>
  </si>
  <si>
    <t>Revenue</t>
  </si>
  <si>
    <t xml:space="preserve">   Non-Profit Income</t>
  </si>
  <si>
    <t xml:space="preserve">      Donation of Expense Items</t>
  </si>
  <si>
    <t xml:space="preserve">      Flower Offerings</t>
  </si>
  <si>
    <t xml:space="preserve">      Ice Cream Social</t>
  </si>
  <si>
    <t xml:space="preserve">      Interest Income</t>
  </si>
  <si>
    <t xml:space="preserve">      Memorials Money Received</t>
  </si>
  <si>
    <t xml:space="preserve">      Offerings - Main Account</t>
  </si>
  <si>
    <t xml:space="preserve">         Offerings - ACH v1.00</t>
  </si>
  <si>
    <t xml:space="preserve">         Offerings Online Giving v1.00</t>
  </si>
  <si>
    <t xml:space="preserve">         Offerings Plate v1.00</t>
  </si>
  <si>
    <t xml:space="preserve">      Total Offerings - Main Account</t>
  </si>
  <si>
    <t xml:space="preserve">      Rummage sale</t>
  </si>
  <si>
    <t xml:space="preserve">      Thrivent grant</t>
  </si>
  <si>
    <t xml:space="preserve">   Total Non-Profit Income</t>
  </si>
  <si>
    <t>Total Revenue</t>
  </si>
  <si>
    <t>Gross Profit</t>
  </si>
  <si>
    <t>Expenditures</t>
  </si>
  <si>
    <t xml:space="preserve">   Advertising &amp; Marketing</t>
  </si>
  <si>
    <t xml:space="preserve">   BENEVOLENCE</t>
  </si>
  <si>
    <t xml:space="preserve">   BUILDING EXPENSES</t>
  </si>
  <si>
    <t xml:space="preserve">   BUILDING SERVICES</t>
  </si>
  <si>
    <t xml:space="preserve">      Fire Alarm Monitoring</t>
  </si>
  <si>
    <t xml:space="preserve">      Lawn mowing &amp; related expenses</t>
  </si>
  <si>
    <t xml:space="preserve">      Snow removal &amp; custodial</t>
  </si>
  <si>
    <t xml:space="preserve">      Trash</t>
  </si>
  <si>
    <t xml:space="preserve">   Total BUILDING SERVICES</t>
  </si>
  <si>
    <t xml:space="preserve">   CAPITAL IMPROVEMENT</t>
  </si>
  <si>
    <t xml:space="preserve">   Conferences &amp; continuing ed</t>
  </si>
  <si>
    <t xml:space="preserve">   EVANGELISM AND OUTREACH</t>
  </si>
  <si>
    <t xml:space="preserve">   Insurance</t>
  </si>
  <si>
    <t xml:space="preserve">      Insurance</t>
  </si>
  <si>
    <t xml:space="preserve">      Workers' compensation</t>
  </si>
  <si>
    <t xml:space="preserve">   Total Insurance</t>
  </si>
  <si>
    <t xml:space="preserve">   Interest Paid</t>
  </si>
  <si>
    <t xml:space="preserve">   LIGHTHOUSE YOUTH MINISTRY</t>
  </si>
  <si>
    <t xml:space="preserve">   OFFICE</t>
  </si>
  <si>
    <t xml:space="preserve">      Accounting</t>
  </si>
  <si>
    <t xml:space="preserve">      Copier rental &amp; ink</t>
  </si>
  <si>
    <t xml:space="preserve">      Office supplies</t>
  </si>
  <si>
    <t xml:space="preserve">      Secretarial services</t>
  </si>
  <si>
    <t xml:space="preserve">   Total OFFICE</t>
  </si>
  <si>
    <t xml:space="preserve">   PARISH EDUCATION</t>
  </si>
  <si>
    <t xml:space="preserve">      Confirmation</t>
  </si>
  <si>
    <t xml:space="preserve">   Total PARISH EDUCATION</t>
  </si>
  <si>
    <t xml:space="preserve">   PASTORAL SUPPORT</t>
  </si>
  <si>
    <t xml:space="preserve">      Moving expenses</t>
  </si>
  <si>
    <t xml:space="preserve">      Pastor benefits</t>
  </si>
  <si>
    <t xml:space="preserve">      Pastor salary + taxes</t>
  </si>
  <si>
    <t xml:space="preserve">      Supply Pastor</t>
  </si>
  <si>
    <t xml:space="preserve">   Total PASTORAL SUPPORT</t>
  </si>
  <si>
    <t xml:space="preserve">   Taxes &amp; Licenses</t>
  </si>
  <si>
    <t xml:space="preserve">   Travel</t>
  </si>
  <si>
    <t xml:space="preserve">      Mileage</t>
  </si>
  <si>
    <t xml:space="preserve">   Total Travel</t>
  </si>
  <si>
    <t xml:space="preserve">   Utilities</t>
  </si>
  <si>
    <t xml:space="preserve">      Gas and electric</t>
  </si>
  <si>
    <t xml:space="preserve">      Phone/internet</t>
  </si>
  <si>
    <t xml:space="preserve">      Water &amp; sewer</t>
  </si>
  <si>
    <t xml:space="preserve">   Total Utilities</t>
  </si>
  <si>
    <t xml:space="preserve">   Worship &amp; Music</t>
  </si>
  <si>
    <t xml:space="preserve">      Flowers</t>
  </si>
  <si>
    <t xml:space="preserve">      Organist</t>
  </si>
  <si>
    <t xml:space="preserve">      Worship supplies</t>
  </si>
  <si>
    <t xml:space="preserve">   Total Worship &amp; Music</t>
  </si>
  <si>
    <t>Total Expenditures</t>
  </si>
  <si>
    <t>Net Operating Revenue</t>
  </si>
  <si>
    <t>Net Revenue</t>
  </si>
  <si>
    <t>Tuesday, Sep 20, 2022 12:27:57 PM GMT-7 - Cash Basis</t>
  </si>
  <si>
    <t>Christ the King Church - Port Washington</t>
  </si>
  <si>
    <t>Statement of Activity by Month</t>
  </si>
  <si>
    <t>January - August, 2022</t>
  </si>
  <si>
    <t>2022 budget</t>
  </si>
  <si>
    <t>incl below</t>
  </si>
  <si>
    <t>incl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</si>
</sst>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  <family val="2"/>
    </font>
    <font>
      <sz val="9"/>
      <color theme="1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6" fontId="7" fillId="0" borderId="0" xfId="0" applyNumberFormat="1" applyFont="1"/>
    <xf numFmtId="44" fontId="8" fillId="0" borderId="4" xfId="0" applyNumberFormat="1" applyFont="1" applyBorder="1"/>
    <xf numFmtId="44" fontId="8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 applyAlignment="1"/>
    <xf numFmtId="166" fontId="9" fillId="0" borderId="4" xfId="0" applyNumberFormat="1" applyFont="1" applyBorder="1"/>
    <xf numFmtId="166" fontId="7" fillId="0" borderId="0" xfId="0" applyNumberFormat="1" applyFont="1" applyBorder="1"/>
    <xf numFmtId="166" fontId="9" fillId="0" borderId="3" xfId="0" applyNumberFormat="1" applyFont="1" applyBorder="1"/>
    <xf numFmtId="166" fontId="9" fillId="0" borderId="0" xfId="0" applyNumberFormat="1" applyFont="1" applyBorder="1"/>
    <xf numFmtId="166" fontId="9" fillId="0" borderId="5" xfId="0" applyNumberFormat="1" applyFont="1" applyBorder="1"/>
    <xf numFmtId="44" fontId="8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A3" sqref="A3:J3"/>
    </sheetView>
  </sheetViews>
  <sheetFormatPr defaultRowHeight="15" x14ac:dyDescent="0.25"/>
  <cols>
    <col min="1" max="1" width="33.5703125" customWidth="1"/>
    <col min="2" max="2" width="10.28515625" customWidth="1"/>
    <col min="3" max="3" width="8.5703125" customWidth="1"/>
    <col min="4" max="5" width="9.42578125" customWidth="1"/>
    <col min="6" max="8" width="10.28515625" customWidth="1"/>
    <col min="9" max="10" width="11.140625" customWidth="1"/>
    <col min="11" max="11" width="9.85546875" bestFit="1" customWidth="1"/>
  </cols>
  <sheetData>
    <row r="1" spans="1:11" ht="18" x14ac:dyDescent="0.25">
      <c r="A1" s="10" t="s">
        <v>78</v>
      </c>
      <c r="B1" s="9"/>
      <c r="C1" s="9"/>
      <c r="D1" s="9"/>
      <c r="E1" s="9"/>
      <c r="F1" s="9"/>
      <c r="G1" s="9"/>
      <c r="H1" s="9"/>
      <c r="I1" s="9"/>
      <c r="J1" s="9"/>
    </row>
    <row r="2" spans="1:11" ht="18" x14ac:dyDescent="0.25">
      <c r="A2" s="10" t="s">
        <v>79</v>
      </c>
      <c r="B2" s="9"/>
      <c r="C2" s="9"/>
      <c r="D2" s="9"/>
      <c r="E2" s="9"/>
      <c r="F2" s="9"/>
      <c r="G2" s="9"/>
      <c r="H2" s="9"/>
      <c r="I2" s="9"/>
      <c r="J2" s="9"/>
    </row>
    <row r="3" spans="1:11" x14ac:dyDescent="0.25">
      <c r="A3" s="11" t="s">
        <v>80</v>
      </c>
      <c r="B3" s="9"/>
      <c r="C3" s="9"/>
      <c r="D3" s="9"/>
      <c r="E3" s="9"/>
      <c r="F3" s="9"/>
      <c r="G3" s="9"/>
      <c r="H3" s="9"/>
      <c r="I3" s="9"/>
      <c r="J3" s="9"/>
    </row>
    <row r="5" spans="1:11" ht="24.75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12" t="s">
        <v>81</v>
      </c>
    </row>
    <row r="6" spans="1:11" x14ac:dyDescent="0.25">
      <c r="A6" s="3" t="s">
        <v>9</v>
      </c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3" t="s">
        <v>10</v>
      </c>
      <c r="B7" s="5">
        <f>0</f>
        <v>0</v>
      </c>
      <c r="C7" s="5">
        <f>0</f>
        <v>0</v>
      </c>
      <c r="D7" s="5">
        <f>0</f>
        <v>0</v>
      </c>
      <c r="E7" s="5">
        <f>0</f>
        <v>0</v>
      </c>
      <c r="F7" s="5">
        <f>0</f>
        <v>0</v>
      </c>
      <c r="G7" s="5">
        <f>0</f>
        <v>0</v>
      </c>
      <c r="H7" s="5">
        <f>0</f>
        <v>0</v>
      </c>
      <c r="I7" s="5">
        <f>0</f>
        <v>0</v>
      </c>
      <c r="J7" s="5">
        <f t="shared" ref="J7:J22" si="0">(((((((B7)+(C7))+(D7))+(E7))+(F7))+(G7))+(H7))+(I7)</f>
        <v>0</v>
      </c>
    </row>
    <row r="8" spans="1:11" x14ac:dyDescent="0.25">
      <c r="A8" s="3" t="s">
        <v>11</v>
      </c>
      <c r="B8" s="5">
        <f>0</f>
        <v>0</v>
      </c>
      <c r="C8" s="5">
        <f>0</f>
        <v>0</v>
      </c>
      <c r="D8" s="5">
        <f>0</f>
        <v>0</v>
      </c>
      <c r="E8" s="5">
        <f>0</f>
        <v>0</v>
      </c>
      <c r="F8" s="5">
        <f>494.8</f>
        <v>494.8</v>
      </c>
      <c r="G8" s="5">
        <f>213.81</f>
        <v>213.81</v>
      </c>
      <c r="H8" s="5">
        <f>496.48</f>
        <v>496.48</v>
      </c>
      <c r="I8" s="5">
        <f>25.62</f>
        <v>25.62</v>
      </c>
      <c r="J8" s="5">
        <f t="shared" si="0"/>
        <v>1230.71</v>
      </c>
      <c r="K8" s="13">
        <v>2000</v>
      </c>
    </row>
    <row r="9" spans="1:11" x14ac:dyDescent="0.25">
      <c r="A9" s="3" t="s">
        <v>12</v>
      </c>
      <c r="B9" s="5">
        <f>70</f>
        <v>70</v>
      </c>
      <c r="C9" s="5">
        <f>10</f>
        <v>10</v>
      </c>
      <c r="D9" s="5">
        <f>0</f>
        <v>0</v>
      </c>
      <c r="E9" s="5">
        <f>104</f>
        <v>104</v>
      </c>
      <c r="F9" s="5">
        <f>16</f>
        <v>16</v>
      </c>
      <c r="G9" s="5">
        <f>0</f>
        <v>0</v>
      </c>
      <c r="H9" s="5">
        <f>0</f>
        <v>0</v>
      </c>
      <c r="I9" s="5">
        <f>0</f>
        <v>0</v>
      </c>
      <c r="J9" s="5">
        <f t="shared" si="0"/>
        <v>200</v>
      </c>
      <c r="K9" s="13">
        <v>200</v>
      </c>
    </row>
    <row r="10" spans="1:11" x14ac:dyDescent="0.25">
      <c r="A10" s="3" t="s">
        <v>13</v>
      </c>
      <c r="B10" s="5">
        <f>0</f>
        <v>0</v>
      </c>
      <c r="C10" s="5">
        <f>0</f>
        <v>0</v>
      </c>
      <c r="D10" s="5">
        <f>0</f>
        <v>0</v>
      </c>
      <c r="E10" s="5">
        <f>0</f>
        <v>0</v>
      </c>
      <c r="F10" s="5">
        <f>0</f>
        <v>0</v>
      </c>
      <c r="G10" s="5">
        <f>0</f>
        <v>0</v>
      </c>
      <c r="H10" s="5">
        <f>373</f>
        <v>373</v>
      </c>
      <c r="I10" s="5">
        <f>0</f>
        <v>0</v>
      </c>
      <c r="J10" s="5">
        <f t="shared" si="0"/>
        <v>373</v>
      </c>
      <c r="K10" s="13">
        <v>400</v>
      </c>
    </row>
    <row r="11" spans="1:11" x14ac:dyDescent="0.25">
      <c r="A11" s="3" t="s">
        <v>14</v>
      </c>
      <c r="B11" s="5">
        <f>3.26</f>
        <v>3.26</v>
      </c>
      <c r="C11" s="5">
        <f>2.88</f>
        <v>2.88</v>
      </c>
      <c r="D11" s="5">
        <f>3.37</f>
        <v>3.37</v>
      </c>
      <c r="E11" s="5">
        <f>3.6</f>
        <v>3.6</v>
      </c>
      <c r="F11" s="5">
        <f>3.75</f>
        <v>3.75</v>
      </c>
      <c r="G11" s="5">
        <f>3.16</f>
        <v>3.16</v>
      </c>
      <c r="H11" s="5">
        <f>2.91</f>
        <v>2.91</v>
      </c>
      <c r="I11" s="5">
        <f>2.83</f>
        <v>2.83</v>
      </c>
      <c r="J11" s="5">
        <f t="shared" si="0"/>
        <v>25.759999999999998</v>
      </c>
      <c r="K11" s="13">
        <v>100</v>
      </c>
    </row>
    <row r="12" spans="1:11" x14ac:dyDescent="0.25">
      <c r="A12" s="3" t="s">
        <v>15</v>
      </c>
      <c r="B12" s="5">
        <f>0</f>
        <v>0</v>
      </c>
      <c r="C12" s="5">
        <f>0</f>
        <v>0</v>
      </c>
      <c r="D12" s="5">
        <f>0</f>
        <v>0</v>
      </c>
      <c r="E12" s="5">
        <f>0</f>
        <v>0</v>
      </c>
      <c r="F12" s="5">
        <f>0</f>
        <v>0</v>
      </c>
      <c r="G12" s="5">
        <f>650</f>
        <v>650</v>
      </c>
      <c r="H12" s="5">
        <f>0</f>
        <v>0</v>
      </c>
      <c r="I12" s="5">
        <f>0</f>
        <v>0</v>
      </c>
      <c r="J12" s="5">
        <f t="shared" si="0"/>
        <v>650</v>
      </c>
      <c r="K12" s="13"/>
    </row>
    <row r="13" spans="1:11" x14ac:dyDescent="0.25">
      <c r="A13" s="3" t="s">
        <v>16</v>
      </c>
      <c r="B13" s="5">
        <f>0</f>
        <v>0</v>
      </c>
      <c r="C13" s="5">
        <f>0</f>
        <v>0</v>
      </c>
      <c r="D13" s="5">
        <f>0</f>
        <v>0</v>
      </c>
      <c r="E13" s="5">
        <f>0</f>
        <v>0</v>
      </c>
      <c r="F13" s="5">
        <f>0</f>
        <v>0</v>
      </c>
      <c r="G13" s="5">
        <f>0</f>
        <v>0</v>
      </c>
      <c r="H13" s="5">
        <f>0</f>
        <v>0</v>
      </c>
      <c r="I13" s="5">
        <f>0</f>
        <v>0</v>
      </c>
      <c r="J13" s="5">
        <f t="shared" si="0"/>
        <v>0</v>
      </c>
      <c r="K13" s="13"/>
    </row>
    <row r="14" spans="1:11" x14ac:dyDescent="0.25">
      <c r="A14" s="3" t="s">
        <v>17</v>
      </c>
      <c r="B14" s="5">
        <f>250</f>
        <v>250</v>
      </c>
      <c r="C14" s="5">
        <f>250</f>
        <v>250</v>
      </c>
      <c r="D14" s="5">
        <f>250</f>
        <v>250</v>
      </c>
      <c r="E14" s="5">
        <f>250</f>
        <v>250</v>
      </c>
      <c r="F14" s="5">
        <f>250</f>
        <v>250</v>
      </c>
      <c r="G14" s="5">
        <f>250</f>
        <v>250</v>
      </c>
      <c r="H14" s="5">
        <f>250</f>
        <v>250</v>
      </c>
      <c r="I14" s="5">
        <f>250</f>
        <v>250</v>
      </c>
      <c r="J14" s="5">
        <f t="shared" si="0"/>
        <v>2000</v>
      </c>
      <c r="K14" s="13" t="s">
        <v>82</v>
      </c>
    </row>
    <row r="15" spans="1:11" x14ac:dyDescent="0.25">
      <c r="A15" s="3" t="s">
        <v>18</v>
      </c>
      <c r="B15" s="5">
        <f>1717.46</f>
        <v>1717.46</v>
      </c>
      <c r="C15" s="5">
        <f>2391.62</f>
        <v>2391.62</v>
      </c>
      <c r="D15" s="5">
        <f>4499.43</f>
        <v>4499.43</v>
      </c>
      <c r="E15" s="5">
        <f>1667.71</f>
        <v>1667.71</v>
      </c>
      <c r="F15" s="5">
        <f>2532.68</f>
        <v>2532.6799999999998</v>
      </c>
      <c r="G15" s="5">
        <f>4439.22</f>
        <v>4439.22</v>
      </c>
      <c r="H15" s="5">
        <f>2652.84</f>
        <v>2652.84</v>
      </c>
      <c r="I15" s="5">
        <f>3692.99</f>
        <v>3692.99</v>
      </c>
      <c r="J15" s="5">
        <f t="shared" si="0"/>
        <v>23593.950000000004</v>
      </c>
      <c r="K15" s="13" t="s">
        <v>82</v>
      </c>
    </row>
    <row r="16" spans="1:11" x14ac:dyDescent="0.25">
      <c r="A16" s="3" t="s">
        <v>19</v>
      </c>
      <c r="B16" s="5">
        <f>1630</f>
        <v>1630</v>
      </c>
      <c r="C16" s="5">
        <f>4120</f>
        <v>4120</v>
      </c>
      <c r="D16" s="5">
        <f>17905</f>
        <v>17905</v>
      </c>
      <c r="E16" s="5">
        <f>8982</f>
        <v>8982</v>
      </c>
      <c r="F16" s="5">
        <f>3600</f>
        <v>3600</v>
      </c>
      <c r="G16" s="5">
        <f>1805</f>
        <v>1805</v>
      </c>
      <c r="H16" s="5">
        <f>2185</f>
        <v>2185</v>
      </c>
      <c r="I16" s="5">
        <f>4940</f>
        <v>4940</v>
      </c>
      <c r="J16" s="5">
        <f t="shared" si="0"/>
        <v>45167</v>
      </c>
      <c r="K16" s="13" t="s">
        <v>82</v>
      </c>
    </row>
    <row r="17" spans="1:11" x14ac:dyDescent="0.25">
      <c r="A17" s="3" t="s">
        <v>20</v>
      </c>
      <c r="B17" s="6">
        <f t="shared" ref="B17:I17" si="1">(((B13)+(B14))+(B15))+(B16)</f>
        <v>3597.46</v>
      </c>
      <c r="C17" s="6">
        <f t="shared" si="1"/>
        <v>6761.62</v>
      </c>
      <c r="D17" s="6">
        <f t="shared" si="1"/>
        <v>22654.43</v>
      </c>
      <c r="E17" s="6">
        <f t="shared" si="1"/>
        <v>10899.71</v>
      </c>
      <c r="F17" s="6">
        <f t="shared" si="1"/>
        <v>6382.68</v>
      </c>
      <c r="G17" s="6">
        <f t="shared" si="1"/>
        <v>6494.22</v>
      </c>
      <c r="H17" s="6">
        <f t="shared" si="1"/>
        <v>5087.84</v>
      </c>
      <c r="I17" s="6">
        <f t="shared" si="1"/>
        <v>8882.99</v>
      </c>
      <c r="J17" s="6">
        <f t="shared" si="0"/>
        <v>70760.950000000012</v>
      </c>
      <c r="K17" s="14">
        <v>97500</v>
      </c>
    </row>
    <row r="18" spans="1:11" x14ac:dyDescent="0.25">
      <c r="A18" s="3" t="s">
        <v>21</v>
      </c>
      <c r="B18" s="5">
        <f>0</f>
        <v>0</v>
      </c>
      <c r="C18" s="5">
        <f>0</f>
        <v>0</v>
      </c>
      <c r="D18" s="5">
        <f>0</f>
        <v>0</v>
      </c>
      <c r="E18" s="5">
        <f>0</f>
        <v>0</v>
      </c>
      <c r="F18" s="5">
        <f>0</f>
        <v>0</v>
      </c>
      <c r="G18" s="5">
        <f>0</f>
        <v>0</v>
      </c>
      <c r="H18" s="5">
        <f>0</f>
        <v>0</v>
      </c>
      <c r="I18" s="5">
        <f>100</f>
        <v>100</v>
      </c>
      <c r="J18" s="5">
        <f t="shared" si="0"/>
        <v>100</v>
      </c>
      <c r="K18" s="23"/>
    </row>
    <row r="19" spans="1:11" x14ac:dyDescent="0.25">
      <c r="A19" s="3" t="s">
        <v>22</v>
      </c>
      <c r="B19" s="5">
        <f>0</f>
        <v>0</v>
      </c>
      <c r="C19" s="5">
        <f>0</f>
        <v>0</v>
      </c>
      <c r="D19" s="5">
        <f>176</f>
        <v>176</v>
      </c>
      <c r="E19" s="5">
        <f>0</f>
        <v>0</v>
      </c>
      <c r="F19" s="5">
        <f>0</f>
        <v>0</v>
      </c>
      <c r="G19" s="5">
        <f>0</f>
        <v>0</v>
      </c>
      <c r="H19" s="5">
        <f>0</f>
        <v>0</v>
      </c>
      <c r="I19" s="5">
        <f>0</f>
        <v>0</v>
      </c>
      <c r="J19" s="5">
        <f t="shared" si="0"/>
        <v>176</v>
      </c>
      <c r="K19" s="15"/>
    </row>
    <row r="20" spans="1:11" x14ac:dyDescent="0.25">
      <c r="A20" s="3" t="s">
        <v>23</v>
      </c>
      <c r="B20" s="6">
        <f t="shared" ref="B20:I20" si="2">((((((((B7)+(B8))+(B9))+(B10))+(B11))+(B12))+(B17))+(B18))+(B19)</f>
        <v>3670.7200000000003</v>
      </c>
      <c r="C20" s="6">
        <f t="shared" si="2"/>
        <v>6774.5</v>
      </c>
      <c r="D20" s="6">
        <f t="shared" si="2"/>
        <v>22833.8</v>
      </c>
      <c r="E20" s="6">
        <f t="shared" si="2"/>
        <v>11007.31</v>
      </c>
      <c r="F20" s="6">
        <f t="shared" si="2"/>
        <v>6897.2300000000005</v>
      </c>
      <c r="G20" s="6">
        <f t="shared" si="2"/>
        <v>7361.1900000000005</v>
      </c>
      <c r="H20" s="6">
        <f t="shared" si="2"/>
        <v>5960.2300000000005</v>
      </c>
      <c r="I20" s="6">
        <f t="shared" si="2"/>
        <v>9011.44</v>
      </c>
      <c r="J20" s="6">
        <f t="shared" si="0"/>
        <v>73516.420000000013</v>
      </c>
      <c r="K20" s="16">
        <v>100800</v>
      </c>
    </row>
    <row r="21" spans="1:11" x14ac:dyDescent="0.25">
      <c r="A21" s="3" t="s">
        <v>24</v>
      </c>
      <c r="B21" s="6">
        <f t="shared" ref="B21:I21" si="3">B20</f>
        <v>3670.7200000000003</v>
      </c>
      <c r="C21" s="6">
        <f t="shared" si="3"/>
        <v>6774.5</v>
      </c>
      <c r="D21" s="6">
        <f t="shared" si="3"/>
        <v>22833.8</v>
      </c>
      <c r="E21" s="6">
        <f t="shared" si="3"/>
        <v>11007.31</v>
      </c>
      <c r="F21" s="6">
        <f t="shared" si="3"/>
        <v>6897.2300000000005</v>
      </c>
      <c r="G21" s="6">
        <f t="shared" si="3"/>
        <v>7361.1900000000005</v>
      </c>
      <c r="H21" s="6">
        <f t="shared" si="3"/>
        <v>5960.2300000000005</v>
      </c>
      <c r="I21" s="6">
        <f t="shared" si="3"/>
        <v>9011.44</v>
      </c>
      <c r="J21" s="6">
        <f t="shared" si="0"/>
        <v>73516.420000000013</v>
      </c>
      <c r="K21" s="13"/>
    </row>
    <row r="22" spans="1:11" x14ac:dyDescent="0.25">
      <c r="A22" s="3" t="s">
        <v>25</v>
      </c>
      <c r="B22" s="6">
        <f t="shared" ref="B22:I22" si="4">(B21)-(0)</f>
        <v>3670.7200000000003</v>
      </c>
      <c r="C22" s="6">
        <f t="shared" si="4"/>
        <v>6774.5</v>
      </c>
      <c r="D22" s="6">
        <f t="shared" si="4"/>
        <v>22833.8</v>
      </c>
      <c r="E22" s="6">
        <f t="shared" si="4"/>
        <v>11007.31</v>
      </c>
      <c r="F22" s="6">
        <f t="shared" si="4"/>
        <v>6897.2300000000005</v>
      </c>
      <c r="G22" s="6">
        <f t="shared" si="4"/>
        <v>7361.1900000000005</v>
      </c>
      <c r="H22" s="6">
        <f t="shared" si="4"/>
        <v>5960.2300000000005</v>
      </c>
      <c r="I22" s="6">
        <f t="shared" si="4"/>
        <v>9011.44</v>
      </c>
      <c r="J22" s="6">
        <f t="shared" si="0"/>
        <v>73516.420000000013</v>
      </c>
      <c r="K22" s="16">
        <v>100800</v>
      </c>
    </row>
    <row r="23" spans="1:11" x14ac:dyDescent="0.25">
      <c r="A23" s="3" t="s">
        <v>26</v>
      </c>
      <c r="B23" s="4"/>
      <c r="C23" s="4"/>
      <c r="D23" s="4"/>
      <c r="E23" s="4"/>
      <c r="F23" s="4"/>
      <c r="G23" s="4"/>
      <c r="H23" s="4"/>
      <c r="I23" s="4"/>
      <c r="J23" s="4"/>
      <c r="K23" s="13"/>
    </row>
    <row r="24" spans="1:11" x14ac:dyDescent="0.25">
      <c r="A24" s="3" t="s">
        <v>27</v>
      </c>
      <c r="B24" s="5">
        <f>190</f>
        <v>190</v>
      </c>
      <c r="C24" s="5">
        <f>60</f>
        <v>60</v>
      </c>
      <c r="D24" s="5">
        <f>0</f>
        <v>0</v>
      </c>
      <c r="E24" s="5">
        <f>0</f>
        <v>0</v>
      </c>
      <c r="F24" s="5">
        <f>320</f>
        <v>320</v>
      </c>
      <c r="G24" s="5">
        <f>0</f>
        <v>0</v>
      </c>
      <c r="H24" s="5">
        <f>0</f>
        <v>0</v>
      </c>
      <c r="I24" s="5">
        <f>0</f>
        <v>0</v>
      </c>
      <c r="J24" s="5">
        <f t="shared" ref="J24:J55" si="5">(((((((B24)+(C24))+(D24))+(E24))+(F24))+(G24))+(H24))+(I24)</f>
        <v>570</v>
      </c>
      <c r="K24" s="13">
        <v>750</v>
      </c>
    </row>
    <row r="25" spans="1:11" x14ac:dyDescent="0.25">
      <c r="A25" s="3" t="s">
        <v>28</v>
      </c>
      <c r="B25" s="5">
        <f>325</f>
        <v>325</v>
      </c>
      <c r="C25" s="5">
        <f>325</f>
        <v>325</v>
      </c>
      <c r="D25" s="5">
        <f>325</f>
        <v>325</v>
      </c>
      <c r="E25" s="5">
        <f>325</f>
        <v>325</v>
      </c>
      <c r="F25" s="5">
        <f>325</f>
        <v>325</v>
      </c>
      <c r="G25" s="5">
        <f>325</f>
        <v>325</v>
      </c>
      <c r="H25" s="5">
        <f>325</f>
        <v>325</v>
      </c>
      <c r="I25" s="5">
        <f>325</f>
        <v>325</v>
      </c>
      <c r="J25" s="5">
        <f t="shared" si="5"/>
        <v>2600</v>
      </c>
      <c r="K25" s="13">
        <v>3900</v>
      </c>
    </row>
    <row r="26" spans="1:11" x14ac:dyDescent="0.25">
      <c r="A26" s="3" t="s">
        <v>29</v>
      </c>
      <c r="B26" s="5">
        <f>0</f>
        <v>0</v>
      </c>
      <c r="C26" s="5">
        <f>0</f>
        <v>0</v>
      </c>
      <c r="D26" s="5">
        <f>0</f>
        <v>0</v>
      </c>
      <c r="E26" s="5">
        <f>36.46</f>
        <v>36.46</v>
      </c>
      <c r="F26" s="5">
        <f>0</f>
        <v>0</v>
      </c>
      <c r="G26" s="5">
        <f>550</f>
        <v>550</v>
      </c>
      <c r="H26" s="5">
        <f>247.27</f>
        <v>247.27</v>
      </c>
      <c r="I26" s="5">
        <f>0</f>
        <v>0</v>
      </c>
      <c r="J26" s="5">
        <f t="shared" si="5"/>
        <v>833.73</v>
      </c>
      <c r="K26" s="13">
        <v>2000</v>
      </c>
    </row>
    <row r="27" spans="1:11" x14ac:dyDescent="0.25">
      <c r="A27" s="3" t="s">
        <v>30</v>
      </c>
      <c r="B27" s="5">
        <f>0</f>
        <v>0</v>
      </c>
      <c r="C27" s="5">
        <f>0</f>
        <v>0</v>
      </c>
      <c r="D27" s="5">
        <f>0</f>
        <v>0</v>
      </c>
      <c r="E27" s="5">
        <f>0</f>
        <v>0</v>
      </c>
      <c r="F27" s="5">
        <f>0</f>
        <v>0</v>
      </c>
      <c r="G27" s="5">
        <f>0</f>
        <v>0</v>
      </c>
      <c r="H27" s="5">
        <f>0</f>
        <v>0</v>
      </c>
      <c r="I27" s="5">
        <f>0</f>
        <v>0</v>
      </c>
      <c r="J27" s="5">
        <f t="shared" si="5"/>
        <v>0</v>
      </c>
      <c r="K27" s="13"/>
    </row>
    <row r="28" spans="1:11" x14ac:dyDescent="0.25">
      <c r="A28" s="3" t="s">
        <v>31</v>
      </c>
      <c r="B28" s="5">
        <f>600</f>
        <v>600</v>
      </c>
      <c r="C28" s="5">
        <f>0</f>
        <v>0</v>
      </c>
      <c r="D28" s="5">
        <f>0</f>
        <v>0</v>
      </c>
      <c r="E28" s="5">
        <f>0</f>
        <v>0</v>
      </c>
      <c r="F28" s="5">
        <f>0</f>
        <v>0</v>
      </c>
      <c r="G28" s="5">
        <f>0</f>
        <v>0</v>
      </c>
      <c r="H28" s="5">
        <f>0</f>
        <v>0</v>
      </c>
      <c r="I28" s="5">
        <f>0</f>
        <v>0</v>
      </c>
      <c r="J28" s="5">
        <f t="shared" si="5"/>
        <v>600</v>
      </c>
      <c r="K28" s="13">
        <v>550</v>
      </c>
    </row>
    <row r="29" spans="1:11" x14ac:dyDescent="0.25">
      <c r="A29" s="3" t="s">
        <v>32</v>
      </c>
      <c r="B29" s="5">
        <f>0</f>
        <v>0</v>
      </c>
      <c r="C29" s="5">
        <f>0</f>
        <v>0</v>
      </c>
      <c r="D29" s="5">
        <f>0</f>
        <v>0</v>
      </c>
      <c r="E29" s="5">
        <f>147</f>
        <v>147</v>
      </c>
      <c r="F29" s="5">
        <f>494.8</f>
        <v>494.8</v>
      </c>
      <c r="G29" s="5">
        <f>991.69</f>
        <v>991.69</v>
      </c>
      <c r="H29" s="5">
        <f>47.67</f>
        <v>47.67</v>
      </c>
      <c r="I29" s="5">
        <f>172.62</f>
        <v>172.62</v>
      </c>
      <c r="J29" s="5">
        <f t="shared" si="5"/>
        <v>1853.7800000000002</v>
      </c>
      <c r="K29" s="13">
        <v>2000</v>
      </c>
    </row>
    <row r="30" spans="1:11" x14ac:dyDescent="0.25">
      <c r="A30" s="3" t="s">
        <v>33</v>
      </c>
      <c r="B30" s="5">
        <f>50</f>
        <v>50</v>
      </c>
      <c r="C30" s="5">
        <f>100</f>
        <v>100</v>
      </c>
      <c r="D30" s="5">
        <f>705</f>
        <v>705</v>
      </c>
      <c r="E30" s="5">
        <f>925</f>
        <v>925</v>
      </c>
      <c r="F30" s="5">
        <f>0</f>
        <v>0</v>
      </c>
      <c r="G30" s="5">
        <f>0</f>
        <v>0</v>
      </c>
      <c r="H30" s="5">
        <f>0</f>
        <v>0</v>
      </c>
      <c r="I30" s="5">
        <f>0</f>
        <v>0</v>
      </c>
      <c r="J30" s="5">
        <f t="shared" si="5"/>
        <v>1780</v>
      </c>
      <c r="K30" s="17">
        <v>2500</v>
      </c>
    </row>
    <row r="31" spans="1:11" x14ac:dyDescent="0.25">
      <c r="A31" s="3" t="s">
        <v>34</v>
      </c>
      <c r="B31" s="5">
        <f>0</f>
        <v>0</v>
      </c>
      <c r="C31" s="5">
        <f>78.3</f>
        <v>78.3</v>
      </c>
      <c r="D31" s="5">
        <f>0</f>
        <v>0</v>
      </c>
      <c r="E31" s="5">
        <f>170.62</f>
        <v>170.62</v>
      </c>
      <c r="F31" s="5">
        <f>0</f>
        <v>0</v>
      </c>
      <c r="G31" s="5">
        <f>0</f>
        <v>0</v>
      </c>
      <c r="H31" s="5">
        <f>3.64</f>
        <v>3.64</v>
      </c>
      <c r="I31" s="5">
        <f>0</f>
        <v>0</v>
      </c>
      <c r="J31" s="5">
        <f t="shared" si="5"/>
        <v>252.56</v>
      </c>
      <c r="K31" s="17">
        <v>313.2</v>
      </c>
    </row>
    <row r="32" spans="1:11" x14ac:dyDescent="0.25">
      <c r="A32" s="3" t="s">
        <v>35</v>
      </c>
      <c r="B32" s="6">
        <f t="shared" ref="B32:I32" si="6">((((B27)+(B28))+(B29))+(B30))+(B31)</f>
        <v>650</v>
      </c>
      <c r="C32" s="6">
        <f t="shared" si="6"/>
        <v>178.3</v>
      </c>
      <c r="D32" s="6">
        <f t="shared" si="6"/>
        <v>705</v>
      </c>
      <c r="E32" s="6">
        <f t="shared" si="6"/>
        <v>1242.6199999999999</v>
      </c>
      <c r="F32" s="6">
        <f t="shared" si="6"/>
        <v>494.8</v>
      </c>
      <c r="G32" s="6">
        <f t="shared" si="6"/>
        <v>991.69</v>
      </c>
      <c r="H32" s="6">
        <f t="shared" si="6"/>
        <v>51.31</v>
      </c>
      <c r="I32" s="6">
        <f t="shared" si="6"/>
        <v>172.62</v>
      </c>
      <c r="J32" s="6">
        <f t="shared" si="5"/>
        <v>4486.34</v>
      </c>
      <c r="K32" s="18">
        <v>5363.2</v>
      </c>
    </row>
    <row r="33" spans="1:11" x14ac:dyDescent="0.25">
      <c r="A33" s="3" t="s">
        <v>36</v>
      </c>
      <c r="B33" s="5">
        <f>0</f>
        <v>0</v>
      </c>
      <c r="C33" s="5">
        <f>0</f>
        <v>0</v>
      </c>
      <c r="D33" s="5">
        <f>0</f>
        <v>0</v>
      </c>
      <c r="E33" s="5">
        <f>0</f>
        <v>0</v>
      </c>
      <c r="F33" s="5">
        <f>0</f>
        <v>0</v>
      </c>
      <c r="G33" s="5">
        <f>0</f>
        <v>0</v>
      </c>
      <c r="H33" s="5">
        <f>0</f>
        <v>0</v>
      </c>
      <c r="I33" s="5">
        <f>42775</f>
        <v>42775</v>
      </c>
      <c r="J33" s="5">
        <f t="shared" si="5"/>
        <v>42775</v>
      </c>
      <c r="K33" s="19">
        <v>41000</v>
      </c>
    </row>
    <row r="34" spans="1:11" x14ac:dyDescent="0.25">
      <c r="A34" s="3" t="s">
        <v>37</v>
      </c>
      <c r="B34" s="5">
        <f>0</f>
        <v>0</v>
      </c>
      <c r="C34" s="5">
        <f>0</f>
        <v>0</v>
      </c>
      <c r="D34" s="5">
        <f>0</f>
        <v>0</v>
      </c>
      <c r="E34" s="5">
        <f>525</f>
        <v>525</v>
      </c>
      <c r="F34" s="5">
        <f>0</f>
        <v>0</v>
      </c>
      <c r="G34" s="5">
        <f>1125</f>
        <v>1125</v>
      </c>
      <c r="H34" s="5">
        <f>279.5</f>
        <v>279.5</v>
      </c>
      <c r="I34" s="5">
        <f>0</f>
        <v>0</v>
      </c>
      <c r="J34" s="5">
        <f t="shared" si="5"/>
        <v>1929.5</v>
      </c>
      <c r="K34" s="19">
        <v>700</v>
      </c>
    </row>
    <row r="35" spans="1:11" x14ac:dyDescent="0.25">
      <c r="A35" s="3" t="s">
        <v>38</v>
      </c>
      <c r="B35" s="5">
        <f>0</f>
        <v>0</v>
      </c>
      <c r="C35" s="5">
        <f>0</f>
        <v>0</v>
      </c>
      <c r="D35" s="5">
        <f>0</f>
        <v>0</v>
      </c>
      <c r="E35" s="5">
        <f>0</f>
        <v>0</v>
      </c>
      <c r="F35" s="5">
        <f>0</f>
        <v>0</v>
      </c>
      <c r="G35" s="5">
        <f>0</f>
        <v>0</v>
      </c>
      <c r="H35" s="5">
        <f>0</f>
        <v>0</v>
      </c>
      <c r="I35" s="5">
        <f>82.53</f>
        <v>82.53</v>
      </c>
      <c r="J35" s="5">
        <f t="shared" si="5"/>
        <v>82.53</v>
      </c>
      <c r="K35" s="19">
        <v>1000</v>
      </c>
    </row>
    <row r="36" spans="1:11" x14ac:dyDescent="0.25">
      <c r="A36" s="3" t="s">
        <v>39</v>
      </c>
      <c r="B36" s="5">
        <f>0</f>
        <v>0</v>
      </c>
      <c r="C36" s="5">
        <f>0</f>
        <v>0</v>
      </c>
      <c r="D36" s="5">
        <f>0</f>
        <v>0</v>
      </c>
      <c r="E36" s="5">
        <f>0</f>
        <v>0</v>
      </c>
      <c r="F36" s="5">
        <f>0</f>
        <v>0</v>
      </c>
      <c r="G36" s="5">
        <f>0</f>
        <v>0</v>
      </c>
      <c r="H36" s="5">
        <f>0</f>
        <v>0</v>
      </c>
      <c r="I36" s="5">
        <f>0</f>
        <v>0</v>
      </c>
      <c r="J36" s="5">
        <f t="shared" si="5"/>
        <v>0</v>
      </c>
      <c r="K36" s="19"/>
    </row>
    <row r="37" spans="1:11" x14ac:dyDescent="0.25">
      <c r="A37" s="3" t="s">
        <v>40</v>
      </c>
      <c r="B37" s="5">
        <f>0</f>
        <v>0</v>
      </c>
      <c r="C37" s="5">
        <f>0</f>
        <v>0</v>
      </c>
      <c r="D37" s="5">
        <f>0</f>
        <v>0</v>
      </c>
      <c r="E37" s="5">
        <f>0</f>
        <v>0</v>
      </c>
      <c r="F37" s="5">
        <f>2694.5</f>
        <v>2694.5</v>
      </c>
      <c r="G37" s="5">
        <f>0</f>
        <v>0</v>
      </c>
      <c r="H37" s="5">
        <f>0</f>
        <v>0</v>
      </c>
      <c r="I37" s="5">
        <f>0</f>
        <v>0</v>
      </c>
      <c r="J37" s="5">
        <f t="shared" si="5"/>
        <v>2694.5</v>
      </c>
      <c r="K37" s="13">
        <v>5800</v>
      </c>
    </row>
    <row r="38" spans="1:11" x14ac:dyDescent="0.25">
      <c r="A38" s="3" t="s">
        <v>41</v>
      </c>
      <c r="B38" s="5">
        <f>491</f>
        <v>491</v>
      </c>
      <c r="C38" s="5">
        <f>0</f>
        <v>0</v>
      </c>
      <c r="D38" s="5">
        <f>349</f>
        <v>349</v>
      </c>
      <c r="E38" s="5">
        <f>0</f>
        <v>0</v>
      </c>
      <c r="F38" s="5">
        <f>0</f>
        <v>0</v>
      </c>
      <c r="G38" s="5">
        <f>0</f>
        <v>0</v>
      </c>
      <c r="H38" s="5">
        <f>0</f>
        <v>0</v>
      </c>
      <c r="I38" s="5">
        <f>0</f>
        <v>0</v>
      </c>
      <c r="J38" s="5">
        <f t="shared" si="5"/>
        <v>840</v>
      </c>
      <c r="K38" s="13">
        <v>750</v>
      </c>
    </row>
    <row r="39" spans="1:11" x14ac:dyDescent="0.25">
      <c r="A39" s="3" t="s">
        <v>42</v>
      </c>
      <c r="B39" s="6">
        <f t="shared" ref="B39:I39" si="7">((B36)+(B37))+(B38)</f>
        <v>491</v>
      </c>
      <c r="C39" s="6">
        <f t="shared" si="7"/>
        <v>0</v>
      </c>
      <c r="D39" s="6">
        <f t="shared" si="7"/>
        <v>349</v>
      </c>
      <c r="E39" s="6">
        <f t="shared" si="7"/>
        <v>0</v>
      </c>
      <c r="F39" s="6">
        <f t="shared" si="7"/>
        <v>2694.5</v>
      </c>
      <c r="G39" s="6">
        <f t="shared" si="7"/>
        <v>0</v>
      </c>
      <c r="H39" s="6">
        <f t="shared" si="7"/>
        <v>0</v>
      </c>
      <c r="I39" s="6">
        <f t="shared" si="7"/>
        <v>0</v>
      </c>
      <c r="J39" s="6">
        <f t="shared" si="5"/>
        <v>3534.5</v>
      </c>
      <c r="K39" s="18">
        <v>6550</v>
      </c>
    </row>
    <row r="40" spans="1:11" x14ac:dyDescent="0.25">
      <c r="A40" s="3" t="s">
        <v>43</v>
      </c>
      <c r="B40" s="5">
        <f>586.95</f>
        <v>586.95000000000005</v>
      </c>
      <c r="C40" s="5">
        <f>585.06</f>
        <v>585.05999999999995</v>
      </c>
      <c r="D40" s="5">
        <f>526.62</f>
        <v>526.62</v>
      </c>
      <c r="E40" s="5">
        <f>580.83</f>
        <v>580.83000000000004</v>
      </c>
      <c r="F40" s="5">
        <f>560.31</f>
        <v>560.30999999999995</v>
      </c>
      <c r="G40" s="5">
        <f>576.79</f>
        <v>576.79</v>
      </c>
      <c r="H40" s="5">
        <f>556.26</f>
        <v>556.26</v>
      </c>
      <c r="I40" s="5">
        <f>572.85</f>
        <v>572.85</v>
      </c>
      <c r="J40" s="5">
        <f t="shared" si="5"/>
        <v>4545.67</v>
      </c>
      <c r="K40" s="13">
        <v>7000</v>
      </c>
    </row>
    <row r="41" spans="1:11" x14ac:dyDescent="0.25">
      <c r="A41" s="3" t="s">
        <v>44</v>
      </c>
      <c r="B41" s="5">
        <f>0</f>
        <v>0</v>
      </c>
      <c r="C41" s="5">
        <f>0</f>
        <v>0</v>
      </c>
      <c r="D41" s="5">
        <f>0</f>
        <v>0</v>
      </c>
      <c r="E41" s="5">
        <f>0</f>
        <v>0</v>
      </c>
      <c r="F41" s="5">
        <f>5000</f>
        <v>5000</v>
      </c>
      <c r="G41" s="5">
        <f>0</f>
        <v>0</v>
      </c>
      <c r="H41" s="5">
        <f>0</f>
        <v>0</v>
      </c>
      <c r="I41" s="5">
        <f>0</f>
        <v>0</v>
      </c>
      <c r="J41" s="5">
        <f t="shared" si="5"/>
        <v>5000</v>
      </c>
      <c r="K41" s="13">
        <v>5000</v>
      </c>
    </row>
    <row r="42" spans="1:11" x14ac:dyDescent="0.25">
      <c r="A42" s="3" t="s">
        <v>45</v>
      </c>
      <c r="B42" s="5">
        <f>0</f>
        <v>0</v>
      </c>
      <c r="C42" s="5">
        <f>0</f>
        <v>0</v>
      </c>
      <c r="D42" s="5">
        <f>0</f>
        <v>0</v>
      </c>
      <c r="E42" s="5">
        <f>0</f>
        <v>0</v>
      </c>
      <c r="F42" s="5">
        <f>0</f>
        <v>0</v>
      </c>
      <c r="G42" s="5">
        <f>0</f>
        <v>0</v>
      </c>
      <c r="H42" s="5">
        <f>0</f>
        <v>0</v>
      </c>
      <c r="I42" s="5">
        <f>0</f>
        <v>0</v>
      </c>
      <c r="J42" s="5">
        <f t="shared" si="5"/>
        <v>0</v>
      </c>
      <c r="K42" s="13"/>
    </row>
    <row r="43" spans="1:11" x14ac:dyDescent="0.25">
      <c r="A43" s="3" t="s">
        <v>46</v>
      </c>
      <c r="B43" s="5">
        <f>66.75</f>
        <v>66.75</v>
      </c>
      <c r="C43" s="5">
        <f>62</f>
        <v>62</v>
      </c>
      <c r="D43" s="5">
        <f>62</f>
        <v>62</v>
      </c>
      <c r="E43" s="5">
        <f>62</f>
        <v>62</v>
      </c>
      <c r="F43" s="5">
        <f>62</f>
        <v>62</v>
      </c>
      <c r="G43" s="5">
        <f>333.93</f>
        <v>333.93</v>
      </c>
      <c r="H43" s="5">
        <f>57</f>
        <v>57</v>
      </c>
      <c r="I43" s="5">
        <f>57</f>
        <v>57</v>
      </c>
      <c r="J43" s="5">
        <f t="shared" si="5"/>
        <v>762.68000000000006</v>
      </c>
      <c r="K43" s="13">
        <v>1000</v>
      </c>
    </row>
    <row r="44" spans="1:11" x14ac:dyDescent="0.25">
      <c r="A44" s="3" t="s">
        <v>47</v>
      </c>
      <c r="B44" s="5">
        <f>146.23</f>
        <v>146.22999999999999</v>
      </c>
      <c r="C44" s="5">
        <f>166.49</f>
        <v>166.49</v>
      </c>
      <c r="D44" s="5">
        <f>177.46</f>
        <v>177.46</v>
      </c>
      <c r="E44" s="5">
        <f>342.64</f>
        <v>342.64</v>
      </c>
      <c r="F44" s="5">
        <f>172.55</f>
        <v>172.55</v>
      </c>
      <c r="G44" s="5">
        <f>156.7</f>
        <v>156.69999999999999</v>
      </c>
      <c r="H44" s="5">
        <f>263.68</f>
        <v>263.68</v>
      </c>
      <c r="I44" s="5">
        <f>144.6</f>
        <v>144.6</v>
      </c>
      <c r="J44" s="5">
        <f t="shared" si="5"/>
        <v>1570.3500000000001</v>
      </c>
      <c r="K44" s="13">
        <v>1700</v>
      </c>
    </row>
    <row r="45" spans="1:11" x14ac:dyDescent="0.25">
      <c r="A45" s="3" t="s">
        <v>48</v>
      </c>
      <c r="B45" s="5">
        <f>60</f>
        <v>60</v>
      </c>
      <c r="C45" s="5">
        <f>85.8</f>
        <v>85.8</v>
      </c>
      <c r="D45" s="5">
        <f>118</f>
        <v>118</v>
      </c>
      <c r="E45" s="5">
        <f>81.06</f>
        <v>81.06</v>
      </c>
      <c r="F45" s="5">
        <f>179.88</f>
        <v>179.88</v>
      </c>
      <c r="G45" s="5">
        <f>83.35</f>
        <v>83.35</v>
      </c>
      <c r="H45" s="5">
        <f>0</f>
        <v>0</v>
      </c>
      <c r="I45" s="5">
        <f>94.41</f>
        <v>94.41</v>
      </c>
      <c r="J45" s="5">
        <f t="shared" si="5"/>
        <v>702.5</v>
      </c>
      <c r="K45" s="13">
        <v>750</v>
      </c>
    </row>
    <row r="46" spans="1:11" x14ac:dyDescent="0.25">
      <c r="A46" s="3" t="s">
        <v>49</v>
      </c>
      <c r="B46" s="5">
        <f>2099.18</f>
        <v>2099.1799999999998</v>
      </c>
      <c r="C46" s="5">
        <f>2171.84</f>
        <v>2171.84</v>
      </c>
      <c r="D46" s="5">
        <f>2171.83</f>
        <v>2171.83</v>
      </c>
      <c r="E46" s="5">
        <f>2103.2</f>
        <v>2103.1999999999998</v>
      </c>
      <c r="F46" s="5">
        <f>2054.78</f>
        <v>2054.7800000000002</v>
      </c>
      <c r="G46" s="5">
        <f>3096.27</f>
        <v>3096.27</v>
      </c>
      <c r="H46" s="5">
        <f>2054.78</f>
        <v>2054.7800000000002</v>
      </c>
      <c r="I46" s="5">
        <f>2103.21</f>
        <v>2103.21</v>
      </c>
      <c r="J46" s="5">
        <f t="shared" si="5"/>
        <v>17855.09</v>
      </c>
      <c r="K46" s="13">
        <v>21500</v>
      </c>
    </row>
    <row r="47" spans="1:11" x14ac:dyDescent="0.25">
      <c r="A47" s="3" t="s">
        <v>50</v>
      </c>
      <c r="B47" s="6">
        <f t="shared" ref="B47:I47" si="8">((((B42)+(B43))+(B44))+(B45))+(B46)</f>
        <v>2372.16</v>
      </c>
      <c r="C47" s="6">
        <f t="shared" si="8"/>
        <v>2486.13</v>
      </c>
      <c r="D47" s="6">
        <f t="shared" si="8"/>
        <v>2529.29</v>
      </c>
      <c r="E47" s="6">
        <f t="shared" si="8"/>
        <v>2588.8999999999996</v>
      </c>
      <c r="F47" s="6">
        <f t="shared" si="8"/>
        <v>2469.21</v>
      </c>
      <c r="G47" s="6">
        <f t="shared" si="8"/>
        <v>3670.25</v>
      </c>
      <c r="H47" s="6">
        <f t="shared" si="8"/>
        <v>2375.46</v>
      </c>
      <c r="I47" s="6">
        <f t="shared" si="8"/>
        <v>2399.2200000000003</v>
      </c>
      <c r="J47" s="6">
        <f t="shared" si="5"/>
        <v>20890.62</v>
      </c>
      <c r="K47" s="18">
        <v>25350</v>
      </c>
    </row>
    <row r="48" spans="1:11" x14ac:dyDescent="0.25">
      <c r="A48" s="3" t="s">
        <v>51</v>
      </c>
      <c r="B48" s="5">
        <f>0</f>
        <v>0</v>
      </c>
      <c r="C48" s="5">
        <f>0</f>
        <v>0</v>
      </c>
      <c r="D48" s="5">
        <f>0</f>
        <v>0</v>
      </c>
      <c r="E48" s="5">
        <f>0</f>
        <v>0</v>
      </c>
      <c r="F48" s="5">
        <f>0</f>
        <v>0</v>
      </c>
      <c r="G48" s="5">
        <f>0</f>
        <v>0</v>
      </c>
      <c r="H48" s="5">
        <f>0</f>
        <v>0</v>
      </c>
      <c r="I48" s="5">
        <f>0</f>
        <v>0</v>
      </c>
      <c r="J48" s="5">
        <f t="shared" si="5"/>
        <v>0</v>
      </c>
      <c r="K48" s="13"/>
    </row>
    <row r="49" spans="1:11" x14ac:dyDescent="0.25">
      <c r="A49" s="3" t="s">
        <v>52</v>
      </c>
      <c r="B49" s="5">
        <f>0</f>
        <v>0</v>
      </c>
      <c r="C49" s="5">
        <f>0</f>
        <v>0</v>
      </c>
      <c r="D49" s="5">
        <f>0</f>
        <v>0</v>
      </c>
      <c r="E49" s="5">
        <f>117.95</f>
        <v>117.95</v>
      </c>
      <c r="F49" s="5">
        <f>0</f>
        <v>0</v>
      </c>
      <c r="G49" s="5">
        <f>0</f>
        <v>0</v>
      </c>
      <c r="H49" s="5">
        <f>0</f>
        <v>0</v>
      </c>
      <c r="I49" s="5">
        <f>0</f>
        <v>0</v>
      </c>
      <c r="J49" s="5">
        <f t="shared" si="5"/>
        <v>117.95</v>
      </c>
      <c r="K49" s="13">
        <v>50</v>
      </c>
    </row>
    <row r="50" spans="1:11" x14ac:dyDescent="0.25">
      <c r="A50" s="3" t="s">
        <v>53</v>
      </c>
      <c r="B50" s="6">
        <f t="shared" ref="B50:I50" si="9">(B48)+(B49)</f>
        <v>0</v>
      </c>
      <c r="C50" s="6">
        <f t="shared" si="9"/>
        <v>0</v>
      </c>
      <c r="D50" s="6">
        <f t="shared" si="9"/>
        <v>0</v>
      </c>
      <c r="E50" s="6">
        <f t="shared" si="9"/>
        <v>117.95</v>
      </c>
      <c r="F50" s="6">
        <f t="shared" si="9"/>
        <v>0</v>
      </c>
      <c r="G50" s="6">
        <f t="shared" si="9"/>
        <v>0</v>
      </c>
      <c r="H50" s="6">
        <f t="shared" si="9"/>
        <v>0</v>
      </c>
      <c r="I50" s="6">
        <f t="shared" si="9"/>
        <v>0</v>
      </c>
      <c r="J50" s="6">
        <f t="shared" si="5"/>
        <v>117.95</v>
      </c>
      <c r="K50" s="20">
        <v>4700</v>
      </c>
    </row>
    <row r="51" spans="1:11" x14ac:dyDescent="0.25">
      <c r="A51" s="3" t="s">
        <v>54</v>
      </c>
      <c r="B51" s="5">
        <f>0</f>
        <v>0</v>
      </c>
      <c r="C51" s="5">
        <f>0</f>
        <v>0</v>
      </c>
      <c r="D51" s="5">
        <f>0</f>
        <v>0</v>
      </c>
      <c r="E51" s="5">
        <f>0</f>
        <v>0</v>
      </c>
      <c r="F51" s="5">
        <f>0</f>
        <v>0</v>
      </c>
      <c r="G51" s="5">
        <f>0</f>
        <v>0</v>
      </c>
      <c r="H51" s="5">
        <f>0</f>
        <v>0</v>
      </c>
      <c r="I51" s="5">
        <f>0</f>
        <v>0</v>
      </c>
      <c r="J51" s="5">
        <f t="shared" si="5"/>
        <v>0</v>
      </c>
      <c r="K51" s="13"/>
    </row>
    <row r="52" spans="1:11" x14ac:dyDescent="0.25">
      <c r="A52" s="3" t="s">
        <v>55</v>
      </c>
      <c r="B52" s="5">
        <f>0</f>
        <v>0</v>
      </c>
      <c r="C52" s="5">
        <f>0</f>
        <v>0</v>
      </c>
      <c r="D52" s="5">
        <f>0</f>
        <v>0</v>
      </c>
      <c r="E52" s="5">
        <f>0</f>
        <v>0</v>
      </c>
      <c r="F52" s="5">
        <f>1250</f>
        <v>1250</v>
      </c>
      <c r="G52" s="5">
        <f>0</f>
        <v>0</v>
      </c>
      <c r="H52" s="5">
        <f>0</f>
        <v>0</v>
      </c>
      <c r="I52" s="5">
        <f>0</f>
        <v>0</v>
      </c>
      <c r="J52" s="5">
        <f t="shared" si="5"/>
        <v>1250</v>
      </c>
      <c r="K52" s="13">
        <v>2500</v>
      </c>
    </row>
    <row r="53" spans="1:11" x14ac:dyDescent="0.25">
      <c r="A53" s="3" t="s">
        <v>56</v>
      </c>
      <c r="B53" s="5">
        <f>0</f>
        <v>0</v>
      </c>
      <c r="C53" s="5">
        <f>0</f>
        <v>0</v>
      </c>
      <c r="D53" s="5">
        <f>0</f>
        <v>0</v>
      </c>
      <c r="E53" s="5">
        <f>0</f>
        <v>0</v>
      </c>
      <c r="F53" s="5">
        <f>0</f>
        <v>0</v>
      </c>
      <c r="G53" s="5">
        <f>1366.66</f>
        <v>1366.66</v>
      </c>
      <c r="H53" s="5">
        <f>1101.7</f>
        <v>1101.7</v>
      </c>
      <c r="I53" s="5">
        <f>1101.7</f>
        <v>1101.7</v>
      </c>
      <c r="J53" s="5">
        <f t="shared" si="5"/>
        <v>3570.0600000000004</v>
      </c>
      <c r="K53" s="13">
        <v>16000</v>
      </c>
    </row>
    <row r="54" spans="1:11" x14ac:dyDescent="0.25">
      <c r="A54" s="3" t="s">
        <v>57</v>
      </c>
      <c r="B54" s="5">
        <f>1680</f>
        <v>1680</v>
      </c>
      <c r="C54" s="5">
        <f>1680</f>
        <v>1680</v>
      </c>
      <c r="D54" s="5">
        <f>1680</f>
        <v>1680</v>
      </c>
      <c r="E54" s="5">
        <f>840</f>
        <v>840</v>
      </c>
      <c r="F54" s="5">
        <f>770</f>
        <v>770</v>
      </c>
      <c r="G54" s="5">
        <f>3928.08</f>
        <v>3928.08</v>
      </c>
      <c r="H54" s="5">
        <f>2615.62</f>
        <v>2615.62</v>
      </c>
      <c r="I54" s="5">
        <f>2615.62</f>
        <v>2615.62</v>
      </c>
      <c r="J54" s="5">
        <f t="shared" si="5"/>
        <v>15809.32</v>
      </c>
      <c r="K54" s="13">
        <v>35000</v>
      </c>
    </row>
    <row r="55" spans="1:11" x14ac:dyDescent="0.25">
      <c r="A55" s="3" t="s">
        <v>58</v>
      </c>
      <c r="B55" s="5">
        <f>0</f>
        <v>0</v>
      </c>
      <c r="C55" s="5">
        <f>0</f>
        <v>0</v>
      </c>
      <c r="D55" s="5">
        <f>175</f>
        <v>175</v>
      </c>
      <c r="E55" s="5">
        <f>525</f>
        <v>525</v>
      </c>
      <c r="F55" s="5">
        <f>325</f>
        <v>325</v>
      </c>
      <c r="G55" s="5">
        <f>0</f>
        <v>0</v>
      </c>
      <c r="H55" s="5">
        <f>0</f>
        <v>0</v>
      </c>
      <c r="I55" s="5">
        <f>175</f>
        <v>175</v>
      </c>
      <c r="J55" s="5">
        <f t="shared" si="5"/>
        <v>1200</v>
      </c>
      <c r="K55" s="13">
        <v>1200</v>
      </c>
    </row>
    <row r="56" spans="1:11" x14ac:dyDescent="0.25">
      <c r="A56" s="3" t="s">
        <v>59</v>
      </c>
      <c r="B56" s="6">
        <f t="shared" ref="B56:I56" si="10">((((B51)+(B52))+(B53))+(B54))+(B55)</f>
        <v>1680</v>
      </c>
      <c r="C56" s="6">
        <f t="shared" si="10"/>
        <v>1680</v>
      </c>
      <c r="D56" s="6">
        <f t="shared" si="10"/>
        <v>1855</v>
      </c>
      <c r="E56" s="6">
        <f t="shared" si="10"/>
        <v>1365</v>
      </c>
      <c r="F56" s="6">
        <f t="shared" si="10"/>
        <v>2345</v>
      </c>
      <c r="G56" s="6">
        <f t="shared" si="10"/>
        <v>5294.74</v>
      </c>
      <c r="H56" s="6">
        <f t="shared" si="10"/>
        <v>3717.3199999999997</v>
      </c>
      <c r="I56" s="6">
        <f t="shared" si="10"/>
        <v>3892.3199999999997</v>
      </c>
      <c r="J56" s="6">
        <f t="shared" ref="J56:J87" si="11">(((((((B56)+(C56))+(D56))+(E56))+(F56))+(G56))+(H56))+(I56)</f>
        <v>21829.379999999997</v>
      </c>
      <c r="K56" s="18">
        <v>54700</v>
      </c>
    </row>
    <row r="57" spans="1:11" x14ac:dyDescent="0.25">
      <c r="A57" s="3" t="s">
        <v>60</v>
      </c>
      <c r="B57" s="5">
        <f>10</f>
        <v>10</v>
      </c>
      <c r="C57" s="5">
        <f>0</f>
        <v>0</v>
      </c>
      <c r="D57" s="5">
        <f>0</f>
        <v>0</v>
      </c>
      <c r="E57" s="5">
        <f>25</f>
        <v>25</v>
      </c>
      <c r="F57" s="5">
        <f>0</f>
        <v>0</v>
      </c>
      <c r="G57" s="5">
        <f>0</f>
        <v>0</v>
      </c>
      <c r="H57" s="5">
        <f>0</f>
        <v>0</v>
      </c>
      <c r="I57" s="5">
        <f>0</f>
        <v>0</v>
      </c>
      <c r="J57" s="5">
        <f t="shared" si="11"/>
        <v>35</v>
      </c>
      <c r="K57" s="13" t="s">
        <v>83</v>
      </c>
    </row>
    <row r="58" spans="1:11" x14ac:dyDescent="0.25">
      <c r="A58" s="3" t="s">
        <v>61</v>
      </c>
      <c r="B58" s="5">
        <f>0</f>
        <v>0</v>
      </c>
      <c r="C58" s="5">
        <f>0</f>
        <v>0</v>
      </c>
      <c r="D58" s="5">
        <f>0</f>
        <v>0</v>
      </c>
      <c r="E58" s="5">
        <f>0</f>
        <v>0</v>
      </c>
      <c r="F58" s="5">
        <f>0</f>
        <v>0</v>
      </c>
      <c r="G58" s="5">
        <f>0</f>
        <v>0</v>
      </c>
      <c r="H58" s="5">
        <f>0</f>
        <v>0</v>
      </c>
      <c r="I58" s="5">
        <f>448.83</f>
        <v>448.83</v>
      </c>
      <c r="J58" s="5">
        <f t="shared" si="11"/>
        <v>448.83</v>
      </c>
      <c r="K58" s="13"/>
    </row>
    <row r="59" spans="1:11" x14ac:dyDescent="0.25">
      <c r="A59" s="3" t="s">
        <v>62</v>
      </c>
      <c r="B59" s="5">
        <f>100.24</f>
        <v>100.24</v>
      </c>
      <c r="C59" s="5">
        <f>0</f>
        <v>0</v>
      </c>
      <c r="D59" s="5">
        <f>112.32</f>
        <v>112.32</v>
      </c>
      <c r="E59" s="5">
        <f>273.04</f>
        <v>273.04000000000002</v>
      </c>
      <c r="F59" s="5">
        <f>25</f>
        <v>25</v>
      </c>
      <c r="G59" s="5">
        <f>0</f>
        <v>0</v>
      </c>
      <c r="H59" s="5">
        <f>49.17</f>
        <v>49.17</v>
      </c>
      <c r="I59" s="5">
        <f>107.72</f>
        <v>107.72</v>
      </c>
      <c r="J59" s="5">
        <f t="shared" si="11"/>
        <v>667.49</v>
      </c>
      <c r="K59" s="13">
        <v>1000</v>
      </c>
    </row>
    <row r="60" spans="1:11" x14ac:dyDescent="0.25">
      <c r="A60" s="3" t="s">
        <v>63</v>
      </c>
      <c r="B60" s="6">
        <f t="shared" ref="B60:I60" si="12">(B58)+(B59)</f>
        <v>100.24</v>
      </c>
      <c r="C60" s="6">
        <f t="shared" si="12"/>
        <v>0</v>
      </c>
      <c r="D60" s="6">
        <f t="shared" si="12"/>
        <v>112.32</v>
      </c>
      <c r="E60" s="6">
        <f t="shared" si="12"/>
        <v>273.04000000000002</v>
      </c>
      <c r="F60" s="6">
        <f t="shared" si="12"/>
        <v>25</v>
      </c>
      <c r="G60" s="6">
        <f t="shared" si="12"/>
        <v>0</v>
      </c>
      <c r="H60" s="6">
        <f t="shared" si="12"/>
        <v>49.17</v>
      </c>
      <c r="I60" s="6">
        <f t="shared" si="12"/>
        <v>556.54999999999995</v>
      </c>
      <c r="J60" s="6">
        <f t="shared" si="11"/>
        <v>1116.32</v>
      </c>
      <c r="K60" s="18">
        <v>1000</v>
      </c>
    </row>
    <row r="61" spans="1:11" x14ac:dyDescent="0.25">
      <c r="A61" s="3" t="s">
        <v>64</v>
      </c>
      <c r="B61" s="5">
        <f>0</f>
        <v>0</v>
      </c>
      <c r="C61" s="5">
        <f>0</f>
        <v>0</v>
      </c>
      <c r="D61" s="5">
        <f>0</f>
        <v>0</v>
      </c>
      <c r="E61" s="5">
        <f>0</f>
        <v>0</v>
      </c>
      <c r="F61" s="5">
        <f>0</f>
        <v>0</v>
      </c>
      <c r="G61" s="5">
        <f>0</f>
        <v>0</v>
      </c>
      <c r="H61" s="5">
        <f>0</f>
        <v>0</v>
      </c>
      <c r="I61" s="5">
        <f>0</f>
        <v>0</v>
      </c>
      <c r="J61" s="5">
        <f t="shared" si="11"/>
        <v>0</v>
      </c>
      <c r="K61" s="13"/>
    </row>
    <row r="62" spans="1:11" x14ac:dyDescent="0.25">
      <c r="A62" s="3" t="s">
        <v>65</v>
      </c>
      <c r="B62" s="5">
        <f>1038.38</f>
        <v>1038.3800000000001</v>
      </c>
      <c r="C62" s="5">
        <f>0</f>
        <v>0</v>
      </c>
      <c r="D62" s="5">
        <f>2024.23</f>
        <v>2024.23</v>
      </c>
      <c r="E62" s="5">
        <f>869.74</f>
        <v>869.74</v>
      </c>
      <c r="F62" s="5">
        <f>602.4</f>
        <v>602.4</v>
      </c>
      <c r="G62" s="5">
        <f>319.42</f>
        <v>319.42</v>
      </c>
      <c r="H62" s="5">
        <f>205.5</f>
        <v>205.5</v>
      </c>
      <c r="I62" s="5">
        <f>197.34</f>
        <v>197.34</v>
      </c>
      <c r="J62" s="5">
        <f t="shared" si="11"/>
        <v>5257.01</v>
      </c>
      <c r="K62" s="13">
        <v>6000</v>
      </c>
    </row>
    <row r="63" spans="1:11" x14ac:dyDescent="0.25">
      <c r="A63" s="3" t="s">
        <v>66</v>
      </c>
      <c r="B63" s="5">
        <f>157</f>
        <v>157</v>
      </c>
      <c r="C63" s="5">
        <f>151.56</f>
        <v>151.56</v>
      </c>
      <c r="D63" s="5">
        <f>154.28</f>
        <v>154.28</v>
      </c>
      <c r="E63" s="5">
        <f>153.91</f>
        <v>153.91</v>
      </c>
      <c r="F63" s="5">
        <f>153.91</f>
        <v>153.91</v>
      </c>
      <c r="G63" s="5">
        <f>153.91</f>
        <v>153.91</v>
      </c>
      <c r="H63" s="5">
        <f>155.5</f>
        <v>155.5</v>
      </c>
      <c r="I63" s="5">
        <f>155.5</f>
        <v>155.5</v>
      </c>
      <c r="J63" s="5">
        <f t="shared" si="11"/>
        <v>1235.57</v>
      </c>
      <c r="K63" s="13">
        <v>1800</v>
      </c>
    </row>
    <row r="64" spans="1:11" x14ac:dyDescent="0.25">
      <c r="A64" s="3" t="s">
        <v>67</v>
      </c>
      <c r="B64" s="5">
        <f>0</f>
        <v>0</v>
      </c>
      <c r="C64" s="5">
        <f>90.59</f>
        <v>90.59</v>
      </c>
      <c r="D64" s="5">
        <f>0</f>
        <v>0</v>
      </c>
      <c r="E64" s="5">
        <f>118.67</f>
        <v>118.67</v>
      </c>
      <c r="F64" s="5">
        <f>0</f>
        <v>0</v>
      </c>
      <c r="G64" s="5">
        <f>137.2</f>
        <v>137.19999999999999</v>
      </c>
      <c r="H64" s="5">
        <f>0</f>
        <v>0</v>
      </c>
      <c r="I64" s="5">
        <f>89.8</f>
        <v>89.8</v>
      </c>
      <c r="J64" s="5">
        <f t="shared" si="11"/>
        <v>436.26</v>
      </c>
      <c r="K64" s="17">
        <v>650</v>
      </c>
    </row>
    <row r="65" spans="1:11" x14ac:dyDescent="0.25">
      <c r="A65" s="3" t="s">
        <v>68</v>
      </c>
      <c r="B65" s="6">
        <f t="shared" ref="B65:I65" si="13">(((B61)+(B62))+(B63))+(B64)</f>
        <v>1195.3800000000001</v>
      </c>
      <c r="C65" s="6">
        <f t="shared" si="13"/>
        <v>242.15</v>
      </c>
      <c r="D65" s="6">
        <f t="shared" si="13"/>
        <v>2178.5100000000002</v>
      </c>
      <c r="E65" s="6">
        <f t="shared" si="13"/>
        <v>1142.32</v>
      </c>
      <c r="F65" s="6">
        <f t="shared" si="13"/>
        <v>756.31</v>
      </c>
      <c r="G65" s="6">
        <f t="shared" si="13"/>
        <v>610.53</v>
      </c>
      <c r="H65" s="6">
        <f t="shared" si="13"/>
        <v>361</v>
      </c>
      <c r="I65" s="6">
        <f t="shared" si="13"/>
        <v>442.64000000000004</v>
      </c>
      <c r="J65" s="6">
        <f t="shared" si="11"/>
        <v>6928.84</v>
      </c>
      <c r="K65" s="18">
        <v>8450</v>
      </c>
    </row>
    <row r="66" spans="1:11" x14ac:dyDescent="0.25">
      <c r="A66" s="3" t="s">
        <v>69</v>
      </c>
      <c r="B66" s="5">
        <f>0</f>
        <v>0</v>
      </c>
      <c r="C66" s="5">
        <f>0</f>
        <v>0</v>
      </c>
      <c r="D66" s="5">
        <f>0</f>
        <v>0</v>
      </c>
      <c r="E66" s="5">
        <f>0</f>
        <v>0</v>
      </c>
      <c r="F66" s="5">
        <f>0</f>
        <v>0</v>
      </c>
      <c r="G66" s="5">
        <f>0</f>
        <v>0</v>
      </c>
      <c r="H66" s="5">
        <f>0</f>
        <v>0</v>
      </c>
      <c r="I66" s="5">
        <f>0</f>
        <v>0</v>
      </c>
      <c r="J66" s="5">
        <f t="shared" si="11"/>
        <v>0</v>
      </c>
      <c r="K66" s="21"/>
    </row>
    <row r="67" spans="1:11" x14ac:dyDescent="0.25">
      <c r="A67" s="3" t="s">
        <v>70</v>
      </c>
      <c r="B67" s="5">
        <f>0</f>
        <v>0</v>
      </c>
      <c r="C67" s="5">
        <f>0</f>
        <v>0</v>
      </c>
      <c r="D67" s="5">
        <f>0</f>
        <v>0</v>
      </c>
      <c r="E67" s="5">
        <f>0</f>
        <v>0</v>
      </c>
      <c r="F67" s="5">
        <f>134.96</f>
        <v>134.96</v>
      </c>
      <c r="G67" s="5">
        <f>0</f>
        <v>0</v>
      </c>
      <c r="H67" s="5">
        <f>0</f>
        <v>0</v>
      </c>
      <c r="I67" s="5">
        <f>0</f>
        <v>0</v>
      </c>
      <c r="J67" s="5">
        <f t="shared" si="11"/>
        <v>134.96</v>
      </c>
      <c r="K67" s="13"/>
    </row>
    <row r="68" spans="1:11" x14ac:dyDescent="0.25">
      <c r="A68" s="3" t="s">
        <v>71</v>
      </c>
      <c r="B68" s="5">
        <f>0</f>
        <v>0</v>
      </c>
      <c r="C68" s="5">
        <f>0</f>
        <v>0</v>
      </c>
      <c r="D68" s="5">
        <f>236.83</f>
        <v>236.83</v>
      </c>
      <c r="E68" s="5">
        <f>236.82</f>
        <v>236.82</v>
      </c>
      <c r="F68" s="5">
        <f>0</f>
        <v>0</v>
      </c>
      <c r="G68" s="5">
        <f>0</f>
        <v>0</v>
      </c>
      <c r="H68" s="5">
        <f>0</f>
        <v>0</v>
      </c>
      <c r="I68" s="5">
        <f>0</f>
        <v>0</v>
      </c>
      <c r="J68" s="5">
        <f t="shared" si="11"/>
        <v>473.65</v>
      </c>
      <c r="K68" s="13">
        <v>3190</v>
      </c>
    </row>
    <row r="69" spans="1:11" x14ac:dyDescent="0.25">
      <c r="A69" s="3" t="s">
        <v>72</v>
      </c>
      <c r="B69" s="5">
        <f>49.94</f>
        <v>49.94</v>
      </c>
      <c r="C69" s="5">
        <f>109.99</f>
        <v>109.99</v>
      </c>
      <c r="D69" s="5">
        <f>103.8</f>
        <v>103.8</v>
      </c>
      <c r="E69" s="5">
        <f>62.91</f>
        <v>62.91</v>
      </c>
      <c r="F69" s="5">
        <f>51.97</f>
        <v>51.97</v>
      </c>
      <c r="G69" s="5">
        <f>607.13</f>
        <v>607.13</v>
      </c>
      <c r="H69" s="5">
        <f>0</f>
        <v>0</v>
      </c>
      <c r="I69" s="5">
        <f>533.4</f>
        <v>533.4</v>
      </c>
      <c r="J69" s="5">
        <f t="shared" si="11"/>
        <v>1519.1399999999999</v>
      </c>
      <c r="K69" s="13">
        <v>2500</v>
      </c>
    </row>
    <row r="70" spans="1:11" x14ac:dyDescent="0.25">
      <c r="A70" s="3" t="s">
        <v>73</v>
      </c>
      <c r="B70" s="6">
        <f t="shared" ref="B70:I70" si="14">(((B66)+(B67))+(B68))+(B69)</f>
        <v>49.94</v>
      </c>
      <c r="C70" s="6">
        <f t="shared" si="14"/>
        <v>109.99</v>
      </c>
      <c r="D70" s="6">
        <f t="shared" si="14"/>
        <v>340.63</v>
      </c>
      <c r="E70" s="6">
        <f t="shared" si="14"/>
        <v>299.73</v>
      </c>
      <c r="F70" s="6">
        <f t="shared" si="14"/>
        <v>186.93</v>
      </c>
      <c r="G70" s="6">
        <f t="shared" si="14"/>
        <v>607.13</v>
      </c>
      <c r="H70" s="6">
        <f t="shared" si="14"/>
        <v>0</v>
      </c>
      <c r="I70" s="6">
        <f t="shared" si="14"/>
        <v>533.4</v>
      </c>
      <c r="J70" s="6">
        <f t="shared" si="11"/>
        <v>2127.75</v>
      </c>
      <c r="K70" s="22">
        <v>5690</v>
      </c>
    </row>
    <row r="71" spans="1:11" x14ac:dyDescent="0.25">
      <c r="A71" s="3" t="s">
        <v>74</v>
      </c>
      <c r="B71" s="6">
        <f t="shared" ref="B71:I71" si="15">((((((((((((((((B24)+(B25))+(B26))+(B32))+(B33))+(B34))+(B35))+(B39))+(B40))+(B41))+(B47))+(B50))+(B56))+(B57))+(B60))+(B65))+(B70)</f>
        <v>7650.6699999999992</v>
      </c>
      <c r="C71" s="6">
        <f t="shared" si="15"/>
        <v>5666.6299999999992</v>
      </c>
      <c r="D71" s="6">
        <f t="shared" si="15"/>
        <v>8921.369999999999</v>
      </c>
      <c r="E71" s="6">
        <f t="shared" si="15"/>
        <v>8521.8499999999985</v>
      </c>
      <c r="F71" s="6">
        <f t="shared" si="15"/>
        <v>15177.06</v>
      </c>
      <c r="G71" s="6">
        <f t="shared" si="15"/>
        <v>13751.13</v>
      </c>
      <c r="H71" s="6">
        <f t="shared" si="15"/>
        <v>7962.29</v>
      </c>
      <c r="I71" s="6">
        <f t="shared" si="15"/>
        <v>51752.130000000005</v>
      </c>
      <c r="J71" s="6">
        <f t="shared" si="11"/>
        <v>119403.12999999999</v>
      </c>
      <c r="K71" s="22">
        <v>174935.2</v>
      </c>
    </row>
    <row r="72" spans="1:11" x14ac:dyDescent="0.25">
      <c r="A72" s="3" t="s">
        <v>75</v>
      </c>
      <c r="B72" s="6">
        <f t="shared" ref="B72:I72" si="16">(B22)-(B71)</f>
        <v>-3979.9499999999989</v>
      </c>
      <c r="C72" s="6">
        <f t="shared" si="16"/>
        <v>1107.8700000000008</v>
      </c>
      <c r="D72" s="6">
        <f t="shared" si="16"/>
        <v>13912.43</v>
      </c>
      <c r="E72" s="6">
        <f t="shared" si="16"/>
        <v>2485.4600000000009</v>
      </c>
      <c r="F72" s="6">
        <f t="shared" si="16"/>
        <v>-8279.8299999999981</v>
      </c>
      <c r="G72" s="6">
        <f t="shared" si="16"/>
        <v>-6389.9399999999987</v>
      </c>
      <c r="H72" s="6">
        <f t="shared" si="16"/>
        <v>-2002.0599999999995</v>
      </c>
      <c r="I72" s="6">
        <f t="shared" si="16"/>
        <v>-42740.69</v>
      </c>
      <c r="J72" s="6">
        <f t="shared" si="11"/>
        <v>-45886.709999999992</v>
      </c>
      <c r="K72" s="18">
        <v>-74153.2</v>
      </c>
    </row>
    <row r="73" spans="1:11" x14ac:dyDescent="0.25">
      <c r="A73" s="3" t="s">
        <v>76</v>
      </c>
      <c r="B73" s="7">
        <f t="shared" ref="B73:I73" si="17">(B72)+(0)</f>
        <v>-3979.9499999999989</v>
      </c>
      <c r="C73" s="7">
        <f t="shared" si="17"/>
        <v>1107.8700000000008</v>
      </c>
      <c r="D73" s="7">
        <f t="shared" si="17"/>
        <v>13912.43</v>
      </c>
      <c r="E73" s="7">
        <f t="shared" si="17"/>
        <v>2485.4600000000009</v>
      </c>
      <c r="F73" s="7">
        <f t="shared" si="17"/>
        <v>-8279.8299999999981</v>
      </c>
      <c r="G73" s="7">
        <f t="shared" si="17"/>
        <v>-6389.9399999999987</v>
      </c>
      <c r="H73" s="7">
        <f t="shared" si="17"/>
        <v>-2002.0599999999995</v>
      </c>
      <c r="I73" s="7">
        <f t="shared" si="17"/>
        <v>-42740.69</v>
      </c>
      <c r="J73" s="7">
        <f t="shared" si="11"/>
        <v>-45886.709999999992</v>
      </c>
      <c r="K73" s="18">
        <v>-74153.2</v>
      </c>
    </row>
    <row r="74" spans="1:11" x14ac:dyDescent="0.25">
      <c r="A74" s="3"/>
      <c r="B74" s="4"/>
      <c r="C74" s="4"/>
      <c r="D74" s="4"/>
      <c r="E74" s="4"/>
      <c r="F74" s="4"/>
      <c r="G74" s="4"/>
      <c r="H74" s="4"/>
      <c r="I74" s="4"/>
      <c r="J74" s="4"/>
    </row>
    <row r="77" spans="1:11" x14ac:dyDescent="0.25">
      <c r="A77" s="8" t="s">
        <v>77</v>
      </c>
      <c r="B77" s="9"/>
      <c r="C77" s="9"/>
      <c r="D77" s="9"/>
      <c r="E77" s="9"/>
      <c r="F77" s="9"/>
      <c r="G77" s="9"/>
      <c r="H77" s="9"/>
      <c r="I77" s="9"/>
      <c r="J77" s="9"/>
    </row>
  </sheetData>
  <mergeCells count="4">
    <mergeCell ref="A77:J77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Activity by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fwalls</cp:lastModifiedBy>
  <dcterms:created xsi:type="dcterms:W3CDTF">2022-09-20T19:27:57Z</dcterms:created>
  <dcterms:modified xsi:type="dcterms:W3CDTF">2022-09-20T19:32:58Z</dcterms:modified>
</cp:coreProperties>
</file>