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40" windowWidth="18990" windowHeight="9405"/>
  </bookViews>
  <sheets>
    <sheet name="Statement of Activity by Month" sheetId="1" r:id="rId1"/>
  </sheets>
  <calcPr calcId="145621"/>
</workbook>
</file>

<file path=xl/calcChain.xml><?xml version="1.0" encoding="utf-8"?>
<calcChain xmlns="http://schemas.openxmlformats.org/spreadsheetml/2006/main">
  <c r="L76" i="1" l="1"/>
  <c r="K76" i="1"/>
  <c r="J76" i="1"/>
  <c r="I76" i="1"/>
  <c r="H76" i="1"/>
  <c r="G76" i="1"/>
  <c r="F76" i="1"/>
  <c r="E76" i="1"/>
  <c r="D76" i="1"/>
  <c r="C76" i="1"/>
  <c r="B76" i="1"/>
  <c r="L75" i="1"/>
  <c r="K75" i="1"/>
  <c r="J75" i="1"/>
  <c r="I75" i="1"/>
  <c r="H75" i="1"/>
  <c r="G75" i="1"/>
  <c r="F75" i="1"/>
  <c r="E75" i="1"/>
  <c r="D75" i="1"/>
  <c r="C75" i="1"/>
  <c r="B75" i="1"/>
  <c r="L74" i="1"/>
  <c r="K74" i="1"/>
  <c r="J74" i="1"/>
  <c r="I74" i="1"/>
  <c r="H74" i="1"/>
  <c r="G74" i="1"/>
  <c r="F74" i="1"/>
  <c r="E74" i="1"/>
  <c r="D74" i="1"/>
  <c r="C74" i="1"/>
  <c r="B74" i="1"/>
  <c r="L73" i="1"/>
  <c r="K73" i="1"/>
  <c r="J73" i="1"/>
  <c r="I73" i="1"/>
  <c r="H73" i="1"/>
  <c r="G73" i="1"/>
  <c r="F73" i="1"/>
  <c r="E73" i="1"/>
  <c r="D73" i="1"/>
  <c r="C73" i="1"/>
  <c r="B73" i="1"/>
  <c r="L71" i="1"/>
  <c r="K71" i="1"/>
  <c r="J71" i="1"/>
  <c r="I71" i="1"/>
  <c r="H71" i="1"/>
  <c r="G71" i="1"/>
  <c r="F71" i="1"/>
  <c r="E71" i="1"/>
  <c r="D71" i="1"/>
  <c r="C71" i="1"/>
  <c r="B71" i="1"/>
  <c r="L70" i="1"/>
  <c r="K70" i="1"/>
  <c r="J70" i="1"/>
  <c r="I70" i="1"/>
  <c r="H70" i="1"/>
  <c r="G70" i="1"/>
  <c r="F70" i="1"/>
  <c r="E70" i="1"/>
  <c r="D70" i="1"/>
  <c r="C70" i="1"/>
  <c r="B70" i="1"/>
  <c r="L69" i="1"/>
  <c r="K69" i="1"/>
  <c r="J69" i="1"/>
  <c r="I69" i="1"/>
  <c r="H69" i="1"/>
  <c r="G69" i="1"/>
  <c r="F69" i="1"/>
  <c r="E69" i="1"/>
  <c r="D69" i="1"/>
  <c r="C69" i="1"/>
  <c r="B69" i="1"/>
  <c r="L68" i="1"/>
  <c r="K68" i="1"/>
  <c r="J68" i="1"/>
  <c r="I68" i="1"/>
  <c r="H68" i="1"/>
  <c r="G68" i="1"/>
  <c r="F68" i="1"/>
  <c r="E68" i="1"/>
  <c r="D68" i="1"/>
  <c r="C68" i="1"/>
  <c r="B68" i="1"/>
  <c r="L66" i="1"/>
  <c r="K66" i="1"/>
  <c r="J66" i="1"/>
  <c r="I66" i="1"/>
  <c r="H66" i="1"/>
  <c r="G66" i="1"/>
  <c r="F66" i="1"/>
  <c r="E66" i="1"/>
  <c r="D66" i="1"/>
  <c r="C66" i="1"/>
  <c r="B66" i="1"/>
  <c r="L65" i="1"/>
  <c r="K65" i="1"/>
  <c r="J65" i="1"/>
  <c r="I65" i="1"/>
  <c r="H65" i="1"/>
  <c r="G65" i="1"/>
  <c r="F65" i="1"/>
  <c r="F67" i="1" s="1"/>
  <c r="E65" i="1"/>
  <c r="D65" i="1"/>
  <c r="C65" i="1"/>
  <c r="B65" i="1"/>
  <c r="L64" i="1"/>
  <c r="K64" i="1"/>
  <c r="J64" i="1"/>
  <c r="I64" i="1"/>
  <c r="H64" i="1"/>
  <c r="G64" i="1"/>
  <c r="F64" i="1"/>
  <c r="E64" i="1"/>
  <c r="D64" i="1"/>
  <c r="C64" i="1"/>
  <c r="B64" i="1"/>
  <c r="L62" i="1"/>
  <c r="K62" i="1"/>
  <c r="J62" i="1"/>
  <c r="I62" i="1"/>
  <c r="H62" i="1"/>
  <c r="G62" i="1"/>
  <c r="F62" i="1"/>
  <c r="E62" i="1"/>
  <c r="D62" i="1"/>
  <c r="C62" i="1"/>
  <c r="B62" i="1"/>
  <c r="L61" i="1"/>
  <c r="K61" i="1"/>
  <c r="J61" i="1"/>
  <c r="I61" i="1"/>
  <c r="H61" i="1"/>
  <c r="G61" i="1"/>
  <c r="F61" i="1"/>
  <c r="E61" i="1"/>
  <c r="D61" i="1"/>
  <c r="C61" i="1"/>
  <c r="B61" i="1"/>
  <c r="L60" i="1"/>
  <c r="K60" i="1"/>
  <c r="J60" i="1"/>
  <c r="I60" i="1"/>
  <c r="H60" i="1"/>
  <c r="G60" i="1"/>
  <c r="F60" i="1"/>
  <c r="E60" i="1"/>
  <c r="D60" i="1"/>
  <c r="C60" i="1"/>
  <c r="B60" i="1"/>
  <c r="L59" i="1"/>
  <c r="K59" i="1"/>
  <c r="J59" i="1"/>
  <c r="I59" i="1"/>
  <c r="H59" i="1"/>
  <c r="G59" i="1"/>
  <c r="F59" i="1"/>
  <c r="E59" i="1"/>
  <c r="D59" i="1"/>
  <c r="C59" i="1"/>
  <c r="B59" i="1"/>
  <c r="L58" i="1"/>
  <c r="K58" i="1"/>
  <c r="J58" i="1"/>
  <c r="I58" i="1"/>
  <c r="H58" i="1"/>
  <c r="G58" i="1"/>
  <c r="F58" i="1"/>
  <c r="E58" i="1"/>
  <c r="D58" i="1"/>
  <c r="C58" i="1"/>
  <c r="B58" i="1"/>
  <c r="L56" i="1"/>
  <c r="K56" i="1"/>
  <c r="J56" i="1"/>
  <c r="I56" i="1"/>
  <c r="H56" i="1"/>
  <c r="G56" i="1"/>
  <c r="F56" i="1"/>
  <c r="E56" i="1"/>
  <c r="D56" i="1"/>
  <c r="C56" i="1"/>
  <c r="B56" i="1"/>
  <c r="L55" i="1"/>
  <c r="K55" i="1"/>
  <c r="K57" i="1" s="1"/>
  <c r="J55" i="1"/>
  <c r="I55" i="1"/>
  <c r="H55" i="1"/>
  <c r="G55" i="1"/>
  <c r="F55" i="1"/>
  <c r="E55" i="1"/>
  <c r="D55" i="1"/>
  <c r="C55" i="1"/>
  <c r="C57" i="1" s="1"/>
  <c r="B55" i="1"/>
  <c r="L53" i="1"/>
  <c r="K53" i="1"/>
  <c r="J53" i="1"/>
  <c r="I53" i="1"/>
  <c r="H53" i="1"/>
  <c r="G53" i="1"/>
  <c r="F53" i="1"/>
  <c r="E53" i="1"/>
  <c r="D53" i="1"/>
  <c r="C53" i="1"/>
  <c r="B53" i="1"/>
  <c r="L52" i="1"/>
  <c r="K52" i="1"/>
  <c r="J52" i="1"/>
  <c r="I52" i="1"/>
  <c r="H52" i="1"/>
  <c r="G52" i="1"/>
  <c r="F52" i="1"/>
  <c r="E52" i="1"/>
  <c r="D52" i="1"/>
  <c r="C52" i="1"/>
  <c r="B52" i="1"/>
  <c r="L51" i="1"/>
  <c r="K51" i="1"/>
  <c r="J51" i="1"/>
  <c r="I51" i="1"/>
  <c r="H51" i="1"/>
  <c r="G51" i="1"/>
  <c r="F51" i="1"/>
  <c r="E51" i="1"/>
  <c r="D51" i="1"/>
  <c r="C51" i="1"/>
  <c r="B51" i="1"/>
  <c r="L50" i="1"/>
  <c r="K50" i="1"/>
  <c r="J50" i="1"/>
  <c r="I50" i="1"/>
  <c r="H50" i="1"/>
  <c r="G50" i="1"/>
  <c r="F50" i="1"/>
  <c r="E50" i="1"/>
  <c r="D50" i="1"/>
  <c r="C50" i="1"/>
  <c r="B50" i="1"/>
  <c r="L49" i="1"/>
  <c r="K49" i="1"/>
  <c r="J49" i="1"/>
  <c r="I49" i="1"/>
  <c r="H49" i="1"/>
  <c r="G49" i="1"/>
  <c r="F49" i="1"/>
  <c r="E49" i="1"/>
  <c r="D49" i="1"/>
  <c r="C49" i="1"/>
  <c r="B49" i="1"/>
  <c r="L48" i="1"/>
  <c r="K48" i="1"/>
  <c r="J48" i="1"/>
  <c r="I48" i="1"/>
  <c r="H48" i="1"/>
  <c r="G48" i="1"/>
  <c r="F48" i="1"/>
  <c r="E48" i="1"/>
  <c r="D48" i="1"/>
  <c r="C48" i="1"/>
  <c r="B48" i="1"/>
  <c r="L47" i="1"/>
  <c r="K47" i="1"/>
  <c r="J47" i="1"/>
  <c r="I47" i="1"/>
  <c r="H47" i="1"/>
  <c r="G47" i="1"/>
  <c r="F47" i="1"/>
  <c r="E47" i="1"/>
  <c r="D47" i="1"/>
  <c r="C47" i="1"/>
  <c r="B47" i="1"/>
  <c r="L45" i="1"/>
  <c r="K45" i="1"/>
  <c r="J45" i="1"/>
  <c r="I45" i="1"/>
  <c r="H45" i="1"/>
  <c r="G45" i="1"/>
  <c r="F45" i="1"/>
  <c r="E45" i="1"/>
  <c r="D45" i="1"/>
  <c r="C45" i="1"/>
  <c r="B45" i="1"/>
  <c r="L44" i="1"/>
  <c r="K44" i="1"/>
  <c r="J44" i="1"/>
  <c r="I44" i="1"/>
  <c r="H44" i="1"/>
  <c r="G44" i="1"/>
  <c r="F44" i="1"/>
  <c r="F46" i="1" s="1"/>
  <c r="E44" i="1"/>
  <c r="D44" i="1"/>
  <c r="C44" i="1"/>
  <c r="B44" i="1"/>
  <c r="L43" i="1"/>
  <c r="K43" i="1"/>
  <c r="J43" i="1"/>
  <c r="I43" i="1"/>
  <c r="H43" i="1"/>
  <c r="G43" i="1"/>
  <c r="F43" i="1"/>
  <c r="E43" i="1"/>
  <c r="D43" i="1"/>
  <c r="C43" i="1"/>
  <c r="B43" i="1"/>
  <c r="L42" i="1"/>
  <c r="K42" i="1"/>
  <c r="J42" i="1"/>
  <c r="I42" i="1"/>
  <c r="H42" i="1"/>
  <c r="G42" i="1"/>
  <c r="F42" i="1"/>
  <c r="E42" i="1"/>
  <c r="D42" i="1"/>
  <c r="C42" i="1"/>
  <c r="B42" i="1"/>
  <c r="L41" i="1"/>
  <c r="K41" i="1"/>
  <c r="J41" i="1"/>
  <c r="I41" i="1"/>
  <c r="H41" i="1"/>
  <c r="G41" i="1"/>
  <c r="F41" i="1"/>
  <c r="E41" i="1"/>
  <c r="D41" i="1"/>
  <c r="C41" i="1"/>
  <c r="B41" i="1"/>
  <c r="L40" i="1"/>
  <c r="K40" i="1"/>
  <c r="J40" i="1"/>
  <c r="I40" i="1"/>
  <c r="H40" i="1"/>
  <c r="G40" i="1"/>
  <c r="F40" i="1"/>
  <c r="E40" i="1"/>
  <c r="D40" i="1"/>
  <c r="C40" i="1"/>
  <c r="B40" i="1"/>
  <c r="L38" i="1"/>
  <c r="K38" i="1"/>
  <c r="J38" i="1"/>
  <c r="I38" i="1"/>
  <c r="H38" i="1"/>
  <c r="G38" i="1"/>
  <c r="F38" i="1"/>
  <c r="E38" i="1"/>
  <c r="D38" i="1"/>
  <c r="C38" i="1"/>
  <c r="B38" i="1"/>
  <c r="L37" i="1"/>
  <c r="K37" i="1"/>
  <c r="J37" i="1"/>
  <c r="I37" i="1"/>
  <c r="H37" i="1"/>
  <c r="G37" i="1"/>
  <c r="F37" i="1"/>
  <c r="E37" i="1"/>
  <c r="D37" i="1"/>
  <c r="C37" i="1"/>
  <c r="B37" i="1"/>
  <c r="L36" i="1"/>
  <c r="K36" i="1"/>
  <c r="J36" i="1"/>
  <c r="I36" i="1"/>
  <c r="H36" i="1"/>
  <c r="G36" i="1"/>
  <c r="F36" i="1"/>
  <c r="E36" i="1"/>
  <c r="D36" i="1"/>
  <c r="C36" i="1"/>
  <c r="B36" i="1"/>
  <c r="L35" i="1"/>
  <c r="K35" i="1"/>
  <c r="J35" i="1"/>
  <c r="I35" i="1"/>
  <c r="H35" i="1"/>
  <c r="G35" i="1"/>
  <c r="F35" i="1"/>
  <c r="E35" i="1"/>
  <c r="D35" i="1"/>
  <c r="C35" i="1"/>
  <c r="B35" i="1"/>
  <c r="L34" i="1"/>
  <c r="K34" i="1"/>
  <c r="J34" i="1"/>
  <c r="I34" i="1"/>
  <c r="H34" i="1"/>
  <c r="G34" i="1"/>
  <c r="F34" i="1"/>
  <c r="E34" i="1"/>
  <c r="D34" i="1"/>
  <c r="C34" i="1"/>
  <c r="B34" i="1"/>
  <c r="L33" i="1"/>
  <c r="K33" i="1"/>
  <c r="J33" i="1"/>
  <c r="I33" i="1"/>
  <c r="H33" i="1"/>
  <c r="G33" i="1"/>
  <c r="F33" i="1"/>
  <c r="E33" i="1"/>
  <c r="D33" i="1"/>
  <c r="C33" i="1"/>
  <c r="B33" i="1"/>
  <c r="L31" i="1"/>
  <c r="K31" i="1"/>
  <c r="J31" i="1"/>
  <c r="I31" i="1"/>
  <c r="H31" i="1"/>
  <c r="G31" i="1"/>
  <c r="F31" i="1"/>
  <c r="E31" i="1"/>
  <c r="D31" i="1"/>
  <c r="C31" i="1"/>
  <c r="B31" i="1"/>
  <c r="L30" i="1"/>
  <c r="K30" i="1"/>
  <c r="K32" i="1" s="1"/>
  <c r="J30" i="1"/>
  <c r="J32" i="1" s="1"/>
  <c r="I30" i="1"/>
  <c r="H30" i="1"/>
  <c r="G30" i="1"/>
  <c r="F30" i="1"/>
  <c r="E30" i="1"/>
  <c r="E32" i="1" s="1"/>
  <c r="D30" i="1"/>
  <c r="C30" i="1"/>
  <c r="C32" i="1" s="1"/>
  <c r="B30" i="1"/>
  <c r="B32" i="1" s="1"/>
  <c r="L29" i="1"/>
  <c r="K29" i="1"/>
  <c r="J29" i="1"/>
  <c r="I29" i="1"/>
  <c r="H29" i="1"/>
  <c r="G29" i="1"/>
  <c r="F29" i="1"/>
  <c r="E29" i="1"/>
  <c r="D29" i="1"/>
  <c r="C29" i="1"/>
  <c r="B29" i="1"/>
  <c r="L24" i="1"/>
  <c r="K24" i="1"/>
  <c r="J24" i="1"/>
  <c r="I24" i="1"/>
  <c r="H24" i="1"/>
  <c r="G24" i="1"/>
  <c r="F24" i="1"/>
  <c r="E24" i="1"/>
  <c r="D24" i="1"/>
  <c r="C24" i="1"/>
  <c r="B24" i="1"/>
  <c r="L23" i="1"/>
  <c r="K23" i="1"/>
  <c r="J23" i="1"/>
  <c r="I23" i="1"/>
  <c r="H23" i="1"/>
  <c r="G23" i="1"/>
  <c r="F23" i="1"/>
  <c r="E23" i="1"/>
  <c r="D23" i="1"/>
  <c r="C23" i="1"/>
  <c r="B23" i="1"/>
  <c r="L22" i="1"/>
  <c r="K22" i="1"/>
  <c r="J22" i="1"/>
  <c r="I22" i="1"/>
  <c r="H22" i="1"/>
  <c r="G22" i="1"/>
  <c r="F22" i="1"/>
  <c r="E22" i="1"/>
  <c r="D22" i="1"/>
  <c r="C22" i="1"/>
  <c r="B22" i="1"/>
  <c r="L21" i="1"/>
  <c r="K21" i="1"/>
  <c r="J21" i="1"/>
  <c r="I21" i="1"/>
  <c r="H21" i="1"/>
  <c r="G21" i="1"/>
  <c r="F21" i="1"/>
  <c r="E21" i="1"/>
  <c r="D21" i="1"/>
  <c r="C21" i="1"/>
  <c r="B21" i="1"/>
  <c r="L20" i="1"/>
  <c r="K20" i="1"/>
  <c r="J20" i="1"/>
  <c r="I20" i="1"/>
  <c r="H20" i="1"/>
  <c r="G20" i="1"/>
  <c r="F20" i="1"/>
  <c r="E20" i="1"/>
  <c r="D20" i="1"/>
  <c r="C20" i="1"/>
  <c r="B20" i="1"/>
  <c r="L19" i="1"/>
  <c r="K19" i="1"/>
  <c r="J19" i="1"/>
  <c r="I19" i="1"/>
  <c r="H19" i="1"/>
  <c r="G19" i="1"/>
  <c r="F19" i="1"/>
  <c r="E19" i="1"/>
  <c r="D19" i="1"/>
  <c r="C19" i="1"/>
  <c r="B19" i="1"/>
  <c r="L17" i="1"/>
  <c r="K17" i="1"/>
  <c r="J17" i="1"/>
  <c r="I17" i="1"/>
  <c r="H17" i="1"/>
  <c r="G17" i="1"/>
  <c r="F17" i="1"/>
  <c r="E17" i="1"/>
  <c r="D17" i="1"/>
  <c r="C17" i="1"/>
  <c r="B17" i="1"/>
  <c r="L16" i="1"/>
  <c r="K16" i="1"/>
  <c r="J16" i="1"/>
  <c r="I16" i="1"/>
  <c r="H16" i="1"/>
  <c r="G16" i="1"/>
  <c r="F16" i="1"/>
  <c r="E16" i="1"/>
  <c r="D16" i="1"/>
  <c r="C16" i="1"/>
  <c r="B16" i="1"/>
  <c r="L15" i="1"/>
  <c r="K15" i="1"/>
  <c r="J15" i="1"/>
  <c r="I15" i="1"/>
  <c r="H15" i="1"/>
  <c r="G15" i="1"/>
  <c r="F15" i="1"/>
  <c r="E15" i="1"/>
  <c r="D15" i="1"/>
  <c r="C15" i="1"/>
  <c r="B15" i="1"/>
  <c r="L14" i="1"/>
  <c r="L18" i="1" s="1"/>
  <c r="K14" i="1"/>
  <c r="K18" i="1" s="1"/>
  <c r="J14" i="1"/>
  <c r="I14" i="1"/>
  <c r="H14" i="1"/>
  <c r="G14" i="1"/>
  <c r="F14" i="1"/>
  <c r="E14" i="1"/>
  <c r="D14" i="1"/>
  <c r="C14" i="1"/>
  <c r="C18" i="1" s="1"/>
  <c r="B14" i="1"/>
  <c r="L13" i="1"/>
  <c r="K13" i="1"/>
  <c r="J13" i="1"/>
  <c r="I13" i="1"/>
  <c r="H13" i="1"/>
  <c r="G13" i="1"/>
  <c r="F13" i="1"/>
  <c r="E13" i="1"/>
  <c r="D13" i="1"/>
  <c r="C13" i="1"/>
  <c r="B13" i="1"/>
  <c r="L12" i="1"/>
  <c r="K12" i="1"/>
  <c r="J12" i="1"/>
  <c r="I12" i="1"/>
  <c r="H12" i="1"/>
  <c r="G12" i="1"/>
  <c r="F12" i="1"/>
  <c r="E12" i="1"/>
  <c r="D12" i="1"/>
  <c r="C12" i="1"/>
  <c r="B12" i="1"/>
  <c r="L11" i="1"/>
  <c r="K11" i="1"/>
  <c r="J11" i="1"/>
  <c r="I11" i="1"/>
  <c r="H11" i="1"/>
  <c r="G11" i="1"/>
  <c r="F11" i="1"/>
  <c r="E11" i="1"/>
  <c r="D11" i="1"/>
  <c r="C11" i="1"/>
  <c r="B11" i="1"/>
  <c r="L10" i="1"/>
  <c r="K10" i="1"/>
  <c r="J10" i="1"/>
  <c r="I10" i="1"/>
  <c r="H10" i="1"/>
  <c r="G10" i="1"/>
  <c r="F10" i="1"/>
  <c r="E10" i="1"/>
  <c r="D10" i="1"/>
  <c r="C10" i="1"/>
  <c r="B10" i="1"/>
  <c r="L9" i="1"/>
  <c r="K9" i="1"/>
  <c r="J9" i="1"/>
  <c r="I9" i="1"/>
  <c r="H9" i="1"/>
  <c r="G9" i="1"/>
  <c r="F9" i="1"/>
  <c r="E9" i="1"/>
  <c r="D9" i="1"/>
  <c r="C9" i="1"/>
  <c r="B9" i="1"/>
  <c r="L8" i="1"/>
  <c r="K8" i="1"/>
  <c r="J8" i="1"/>
  <c r="I8" i="1"/>
  <c r="H8" i="1"/>
  <c r="G8" i="1"/>
  <c r="F8" i="1"/>
  <c r="E8" i="1"/>
  <c r="D8" i="1"/>
  <c r="C8" i="1"/>
  <c r="B8" i="1"/>
  <c r="L7" i="1"/>
  <c r="K7" i="1"/>
  <c r="J7" i="1"/>
  <c r="I7" i="1"/>
  <c r="H7" i="1"/>
  <c r="G7" i="1"/>
  <c r="F7" i="1"/>
  <c r="E7" i="1"/>
  <c r="D7" i="1"/>
  <c r="C7" i="1"/>
  <c r="B7" i="1"/>
  <c r="D18" i="1" l="1"/>
  <c r="B67" i="1"/>
  <c r="G57" i="1"/>
  <c r="G67" i="1"/>
  <c r="M73" i="1"/>
  <c r="J77" i="1"/>
  <c r="G72" i="1"/>
  <c r="C77" i="1"/>
  <c r="K77" i="1"/>
  <c r="M34" i="1"/>
  <c r="J39" i="1"/>
  <c r="M52" i="1"/>
  <c r="M53" i="1"/>
  <c r="C63" i="1"/>
  <c r="M62" i="1"/>
  <c r="H72" i="1"/>
  <c r="M8" i="1"/>
  <c r="H18" i="1"/>
  <c r="M16" i="1"/>
  <c r="M19" i="1"/>
  <c r="G32" i="1"/>
  <c r="H57" i="1"/>
  <c r="H67" i="1"/>
  <c r="L46" i="1"/>
  <c r="I57" i="1"/>
  <c r="I67" i="1"/>
  <c r="D46" i="1"/>
  <c r="I32" i="1"/>
  <c r="H46" i="1"/>
  <c r="I54" i="1"/>
  <c r="B57" i="1"/>
  <c r="M57" i="1" s="1"/>
  <c r="J57" i="1"/>
  <c r="J67" i="1"/>
  <c r="M13" i="1"/>
  <c r="I18" i="1"/>
  <c r="I25" i="1" s="1"/>
  <c r="I26" i="1" s="1"/>
  <c r="I27" i="1" s="1"/>
  <c r="M20" i="1"/>
  <c r="H32" i="1"/>
  <c r="F39" i="1"/>
  <c r="C39" i="1"/>
  <c r="K39" i="1"/>
  <c r="D54" i="1"/>
  <c r="L54" i="1"/>
  <c r="M56" i="1"/>
  <c r="M76" i="1"/>
  <c r="M35" i="1"/>
  <c r="M14" i="1"/>
  <c r="J18" i="1"/>
  <c r="J25" i="1" s="1"/>
  <c r="J26" i="1" s="1"/>
  <c r="J27" i="1" s="1"/>
  <c r="M33" i="1"/>
  <c r="G39" i="1"/>
  <c r="H54" i="1"/>
  <c r="E54" i="1"/>
  <c r="M51" i="1"/>
  <c r="M60" i="1"/>
  <c r="M61" i="1"/>
  <c r="M66" i="1"/>
  <c r="I72" i="1"/>
  <c r="D77" i="1"/>
  <c r="L77" i="1"/>
  <c r="E46" i="1"/>
  <c r="M45" i="1"/>
  <c r="F54" i="1"/>
  <c r="D63" i="1"/>
  <c r="L63" i="1"/>
  <c r="I63" i="1"/>
  <c r="B72" i="1"/>
  <c r="J72" i="1"/>
  <c r="E77" i="1"/>
  <c r="M12" i="1"/>
  <c r="M23" i="1"/>
  <c r="M38" i="1"/>
  <c r="I46" i="1"/>
  <c r="M48" i="1"/>
  <c r="B54" i="1"/>
  <c r="J54" i="1"/>
  <c r="G54" i="1"/>
  <c r="M58" i="1"/>
  <c r="B63" i="1"/>
  <c r="J63" i="1"/>
  <c r="M64" i="1"/>
  <c r="M65" i="1"/>
  <c r="C72" i="1"/>
  <c r="K72" i="1"/>
  <c r="M70" i="1"/>
  <c r="M71" i="1"/>
  <c r="F77" i="1"/>
  <c r="B77" i="1"/>
  <c r="M11" i="1"/>
  <c r="M9" i="1"/>
  <c r="E18" i="1"/>
  <c r="E25" i="1" s="1"/>
  <c r="E26" i="1" s="1"/>
  <c r="E27" i="1" s="1"/>
  <c r="M17" i="1"/>
  <c r="M24" i="1"/>
  <c r="D32" i="1"/>
  <c r="L32" i="1"/>
  <c r="L78" i="1" s="1"/>
  <c r="M42" i="1"/>
  <c r="B46" i="1"/>
  <c r="J46" i="1"/>
  <c r="J78" i="1" s="1"/>
  <c r="G46" i="1"/>
  <c r="C54" i="1"/>
  <c r="K54" i="1"/>
  <c r="D57" i="1"/>
  <c r="L57" i="1"/>
  <c r="F63" i="1"/>
  <c r="K63" i="1"/>
  <c r="C67" i="1"/>
  <c r="C78" i="1" s="1"/>
  <c r="K67" i="1"/>
  <c r="D72" i="1"/>
  <c r="L72" i="1"/>
  <c r="G77" i="1"/>
  <c r="C25" i="1"/>
  <c r="C26" i="1" s="1"/>
  <c r="C27" i="1" s="1"/>
  <c r="M10" i="1"/>
  <c r="F18" i="1"/>
  <c r="F25" i="1" s="1"/>
  <c r="F26" i="1" s="1"/>
  <c r="F27" i="1" s="1"/>
  <c r="M31" i="1"/>
  <c r="H39" i="1"/>
  <c r="M36" i="1"/>
  <c r="M37" i="1"/>
  <c r="C46" i="1"/>
  <c r="K46" i="1"/>
  <c r="M47" i="1"/>
  <c r="E57" i="1"/>
  <c r="G63" i="1"/>
  <c r="D67" i="1"/>
  <c r="L67" i="1"/>
  <c r="E72" i="1"/>
  <c r="M69" i="1"/>
  <c r="H77" i="1"/>
  <c r="M74" i="1"/>
  <c r="M75" i="1"/>
  <c r="K25" i="1"/>
  <c r="K26" i="1" s="1"/>
  <c r="K27" i="1" s="1"/>
  <c r="M21" i="1"/>
  <c r="M7" i="1"/>
  <c r="L25" i="1"/>
  <c r="L26" i="1" s="1"/>
  <c r="L27" i="1" s="1"/>
  <c r="G18" i="1"/>
  <c r="G25" i="1" s="1"/>
  <c r="G26" i="1" s="1"/>
  <c r="G27" i="1" s="1"/>
  <c r="M15" i="1"/>
  <c r="M22" i="1"/>
  <c r="F32" i="1"/>
  <c r="F78" i="1" s="1"/>
  <c r="D39" i="1"/>
  <c r="L39" i="1"/>
  <c r="I39" i="1"/>
  <c r="M40" i="1"/>
  <c r="M41" i="1"/>
  <c r="F57" i="1"/>
  <c r="H63" i="1"/>
  <c r="E67" i="1"/>
  <c r="F72" i="1"/>
  <c r="I77" i="1"/>
  <c r="H25" i="1"/>
  <c r="H26" i="1" s="1"/>
  <c r="H27" i="1" s="1"/>
  <c r="B18" i="1"/>
  <c r="B25" i="1" s="1"/>
  <c r="B39" i="1"/>
  <c r="M29" i="1"/>
  <c r="E39" i="1"/>
  <c r="M43" i="1"/>
  <c r="M49" i="1"/>
  <c r="M55" i="1"/>
  <c r="M59" i="1"/>
  <c r="E63" i="1"/>
  <c r="M63" i="1" s="1"/>
  <c r="D25" i="1"/>
  <c r="D26" i="1" s="1"/>
  <c r="D27" i="1" s="1"/>
  <c r="M30" i="1"/>
  <c r="M44" i="1"/>
  <c r="M50" i="1"/>
  <c r="M68" i="1"/>
  <c r="H78" i="1" l="1"/>
  <c r="G78" i="1"/>
  <c r="D78" i="1"/>
  <c r="M72" i="1"/>
  <c r="M77" i="1"/>
  <c r="E78" i="1"/>
  <c r="B78" i="1"/>
  <c r="M78" i="1" s="1"/>
  <c r="I78" i="1"/>
  <c r="I79" i="1" s="1"/>
  <c r="I80" i="1" s="1"/>
  <c r="M67" i="1"/>
  <c r="M46" i="1"/>
  <c r="K78" i="1"/>
  <c r="K79" i="1" s="1"/>
  <c r="K80" i="1" s="1"/>
  <c r="C79" i="1"/>
  <c r="C80" i="1" s="1"/>
  <c r="M32" i="1"/>
  <c r="J79" i="1"/>
  <c r="J80" i="1" s="1"/>
  <c r="E79" i="1"/>
  <c r="E80" i="1" s="1"/>
  <c r="F79" i="1"/>
  <c r="F80" i="1" s="1"/>
  <c r="L79" i="1"/>
  <c r="L80" i="1" s="1"/>
  <c r="D79" i="1"/>
  <c r="D80" i="1" s="1"/>
  <c r="M18" i="1"/>
  <c r="M54" i="1"/>
  <c r="H79" i="1"/>
  <c r="H80" i="1" s="1"/>
  <c r="M25" i="1"/>
  <c r="B26" i="1"/>
  <c r="M39" i="1"/>
  <c r="G79" i="1"/>
  <c r="G80" i="1" s="1"/>
  <c r="B27" i="1" l="1"/>
  <c r="M26" i="1"/>
  <c r="M27" i="1" l="1"/>
  <c r="B79" i="1"/>
  <c r="B80" i="1" l="1"/>
  <c r="M80" i="1" s="1"/>
  <c r="M79" i="1"/>
</calcChain>
</file>

<file path=xl/sharedStrings.xml><?xml version="1.0" encoding="utf-8"?>
<sst xmlns="http://schemas.openxmlformats.org/spreadsheetml/2006/main" count="96" uniqueCount="93">
  <si>
    <t>Jan 2022</t>
  </si>
  <si>
    <t>Feb 2022</t>
  </si>
  <si>
    <t>Mar 2022</t>
  </si>
  <si>
    <t>Apr 2022</t>
  </si>
  <si>
    <t>May 2022</t>
  </si>
  <si>
    <t>Jun 2022</t>
  </si>
  <si>
    <t>Jul 2022</t>
  </si>
  <si>
    <t>Aug 2022</t>
  </si>
  <si>
    <t>Sep 2022</t>
  </si>
  <si>
    <t>Oct 2022</t>
  </si>
  <si>
    <t>Nov 2022</t>
  </si>
  <si>
    <t>Total</t>
  </si>
  <si>
    <t>Revenue</t>
  </si>
  <si>
    <t xml:space="preserve">   Non-Profit Income</t>
  </si>
  <si>
    <t xml:space="preserve">      Donation of Expense Items</t>
  </si>
  <si>
    <t xml:space="preserve">      Flower Offerings</t>
  </si>
  <si>
    <t xml:space="preserve">      Ice Cream Social</t>
  </si>
  <si>
    <t xml:space="preserve">      Interest Income</t>
  </si>
  <si>
    <t xml:space="preserve">      Lutheran World Relief</t>
  </si>
  <si>
    <t xml:space="preserve">      Memorials Money Received</t>
  </si>
  <si>
    <t xml:space="preserve">      Offerings - Main Account</t>
  </si>
  <si>
    <t xml:space="preserve">         Offerings - ACH v1.00</t>
  </si>
  <si>
    <t xml:space="preserve">         Offerings Online Giving v1.00</t>
  </si>
  <si>
    <t xml:space="preserve">         Offerings Plate v1.00</t>
  </si>
  <si>
    <t xml:space="preserve">      Total Offerings - Main Account</t>
  </si>
  <si>
    <t xml:space="preserve">      Reimbursements from Living Hope</t>
  </si>
  <si>
    <t xml:space="preserve">      Rummage sale</t>
  </si>
  <si>
    <t xml:space="preserve">      Stone Soup</t>
  </si>
  <si>
    <t xml:space="preserve">      Tax refunds</t>
  </si>
  <si>
    <t xml:space="preserve">      Thrivent grant</t>
  </si>
  <si>
    <t xml:space="preserve">      World Hunger</t>
  </si>
  <si>
    <t xml:space="preserve">   Total Non-Profit Income</t>
  </si>
  <si>
    <t>Total Revenue</t>
  </si>
  <si>
    <t>Gross Profit</t>
  </si>
  <si>
    <t>Expenditures</t>
  </si>
  <si>
    <t xml:space="preserve">   Advertising &amp; Marketing</t>
  </si>
  <si>
    <t xml:space="preserve">   BENEVOLENCE</t>
  </si>
  <si>
    <t xml:space="preserve">   Total BENEVOLENCE</t>
  </si>
  <si>
    <t xml:space="preserve">   BUILDING EXPENSES</t>
  </si>
  <si>
    <t xml:space="preserve">   BUILDING SERVICES</t>
  </si>
  <si>
    <t xml:space="preserve">      Fire Alarm Monitoring</t>
  </si>
  <si>
    <t xml:space="preserve">      Lawn mowing &amp; related expenses</t>
  </si>
  <si>
    <t xml:space="preserve">      Snow removal &amp; custodial</t>
  </si>
  <si>
    <t xml:space="preserve">      Trash</t>
  </si>
  <si>
    <t xml:space="preserve">   Total BUILDING SERVICES</t>
  </si>
  <si>
    <t xml:space="preserve">   CAPITAL IMPROVEMENT</t>
  </si>
  <si>
    <t xml:space="preserve">   Conferences &amp; continuing ed</t>
  </si>
  <si>
    <t xml:space="preserve">   EVANGELISM AND OUTREACH</t>
  </si>
  <si>
    <t xml:space="preserve">   Insurance</t>
  </si>
  <si>
    <t xml:space="preserve">      Insurance</t>
  </si>
  <si>
    <t xml:space="preserve">      Workers' compensation</t>
  </si>
  <si>
    <t xml:space="preserve">   Total Insurance</t>
  </si>
  <si>
    <t xml:space="preserve">   Interest Paid</t>
  </si>
  <si>
    <t xml:space="preserve">   LIGHTHOUSE YOUTH MINISTRY</t>
  </si>
  <si>
    <t xml:space="preserve">   OFFICE</t>
  </si>
  <si>
    <t xml:space="preserve">      Accounting</t>
  </si>
  <si>
    <t xml:space="preserve">      Copier rental &amp; ink</t>
  </si>
  <si>
    <t xml:space="preserve">      Office supplies</t>
  </si>
  <si>
    <t xml:space="preserve">      Secretarial services</t>
  </si>
  <si>
    <t xml:space="preserve">   Total OFFICE</t>
  </si>
  <si>
    <t xml:space="preserve">   PARISH EDUCATION</t>
  </si>
  <si>
    <t xml:space="preserve">      Confirmation</t>
  </si>
  <si>
    <t xml:space="preserve">   Total PARISH EDUCATION</t>
  </si>
  <si>
    <t xml:space="preserve">   PASTORAL SUPPORT</t>
  </si>
  <si>
    <t xml:space="preserve">      Moving expenses</t>
  </si>
  <si>
    <t xml:space="preserve">      Pastor benefits</t>
  </si>
  <si>
    <t xml:space="preserve">      Pastor salary + taxes</t>
  </si>
  <si>
    <t xml:space="preserve">      Supply Pastor</t>
  </si>
  <si>
    <t xml:space="preserve">   Total PASTORAL SUPPORT</t>
  </si>
  <si>
    <t xml:space="preserve">   Taxes &amp; Licenses</t>
  </si>
  <si>
    <t xml:space="preserve">   Travel</t>
  </si>
  <si>
    <t xml:space="preserve">      Mileage</t>
  </si>
  <si>
    <t xml:space="preserve">   Total Travel</t>
  </si>
  <si>
    <t xml:space="preserve">   Utilities</t>
  </si>
  <si>
    <t xml:space="preserve">      Gas and electric</t>
  </si>
  <si>
    <t xml:space="preserve">      Phone/internet</t>
  </si>
  <si>
    <t xml:space="preserve">      Water &amp; sewer</t>
  </si>
  <si>
    <t xml:space="preserve">   Total Utilities</t>
  </si>
  <si>
    <t xml:space="preserve">   Worship &amp; Music</t>
  </si>
  <si>
    <t xml:space="preserve">      Flowers</t>
  </si>
  <si>
    <t xml:space="preserve">      Organist</t>
  </si>
  <si>
    <t xml:space="preserve">      Worship supplies</t>
  </si>
  <si>
    <t xml:space="preserve">   Total Worship &amp; Music</t>
  </si>
  <si>
    <t>Total Expenditures</t>
  </si>
  <si>
    <t>Net Operating Revenue</t>
  </si>
  <si>
    <t>Net Revenue</t>
  </si>
  <si>
    <t>Monday, Dec 19, 2022 02:05:09 PM GMT-8 - Cash Basis</t>
  </si>
  <si>
    <t>Christ the King Church - Port Washington</t>
  </si>
  <si>
    <t>Statement of Activity by Month</t>
  </si>
  <si>
    <t>January - November, 2022</t>
  </si>
  <si>
    <t>2022 budget</t>
  </si>
  <si>
    <t>incl below</t>
  </si>
  <si>
    <t>incl above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</si>
</sst>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164" formatCode="#,##0.00\ _€"/>
    <numFmt numFmtId="165" formatCode="&quot;$&quot;* #,##0.00\ _€"/>
    <numFmt numFmtId="166" formatCode="&quot;$&quot;#,##0.00"/>
  </numFmts>
  <fonts count="11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  <font>
      <b/>
      <sz val="9"/>
      <color indexed="8"/>
      <name val="Arial"/>
      <family val="2"/>
    </font>
    <font>
      <sz val="9"/>
      <color theme="1"/>
      <name val="Calibri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9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 wrapText="1"/>
    </xf>
    <xf numFmtId="166" fontId="7" fillId="0" borderId="0" xfId="0" applyNumberFormat="1" applyFont="1"/>
    <xf numFmtId="44" fontId="8" fillId="0" borderId="4" xfId="0" applyNumberFormat="1" applyFont="1" applyBorder="1"/>
    <xf numFmtId="44" fontId="8" fillId="0" borderId="0" xfId="0" applyNumberFormat="1" applyFont="1" applyBorder="1"/>
    <xf numFmtId="44" fontId="9" fillId="0" borderId="0" xfId="0" applyNumberFormat="1" applyFont="1" applyBorder="1"/>
    <xf numFmtId="44" fontId="8" fillId="0" borderId="0" xfId="0" applyNumberFormat="1" applyFont="1"/>
    <xf numFmtId="166" fontId="10" fillId="0" borderId="0" xfId="0" applyNumberFormat="1" applyFont="1"/>
    <xf numFmtId="166" fontId="7" fillId="0" borderId="0" xfId="0" applyNumberFormat="1" applyFont="1" applyAlignment="1"/>
    <xf numFmtId="166" fontId="10" fillId="0" borderId="4" xfId="0" applyNumberFormat="1" applyFont="1" applyBorder="1"/>
    <xf numFmtId="166" fontId="7" fillId="0" borderId="0" xfId="0" applyNumberFormat="1" applyFont="1" applyBorder="1"/>
    <xf numFmtId="166" fontId="10" fillId="0" borderId="3" xfId="0" applyNumberFormat="1" applyFont="1" applyBorder="1"/>
    <xf numFmtId="166" fontId="10" fillId="0" borderId="0" xfId="0" applyNumberFormat="1" applyFont="1" applyBorder="1"/>
    <xf numFmtId="166" fontId="10" fillId="0" borderId="5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4"/>
  <sheetViews>
    <sheetView tabSelected="1" workbookViewId="0">
      <selection sqref="A1:M1"/>
    </sheetView>
  </sheetViews>
  <sheetFormatPr defaultRowHeight="15" x14ac:dyDescent="0.25"/>
  <cols>
    <col min="1" max="1" width="33.5703125" customWidth="1"/>
    <col min="2" max="2" width="10.28515625" customWidth="1"/>
    <col min="3" max="3" width="8.5703125" customWidth="1"/>
    <col min="4" max="5" width="9.42578125" customWidth="1"/>
    <col min="6" max="8" width="10.28515625" customWidth="1"/>
    <col min="9" max="9" width="11.140625" customWidth="1"/>
    <col min="10" max="10" width="8.5703125" customWidth="1"/>
    <col min="11" max="11" width="9.42578125" customWidth="1"/>
    <col min="12" max="12" width="10.28515625" customWidth="1"/>
    <col min="13" max="13" width="11.140625" customWidth="1"/>
    <col min="14" max="14" width="9.85546875" bestFit="1" customWidth="1"/>
  </cols>
  <sheetData>
    <row r="1" spans="1:14" ht="18" x14ac:dyDescent="0.25">
      <c r="A1" s="10" t="s">
        <v>87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4" ht="18" x14ac:dyDescent="0.25">
      <c r="A2" s="10" t="s">
        <v>88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4" x14ac:dyDescent="0.25">
      <c r="A3" s="11" t="s">
        <v>89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</row>
    <row r="5" spans="1:14" ht="24.75" x14ac:dyDescent="0.25">
      <c r="A5" s="1"/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 t="s">
        <v>11</v>
      </c>
      <c r="N5" s="12" t="s">
        <v>90</v>
      </c>
    </row>
    <row r="6" spans="1:14" x14ac:dyDescent="0.25">
      <c r="A6" s="3" t="s">
        <v>12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4" x14ac:dyDescent="0.25">
      <c r="A7" s="3" t="s">
        <v>13</v>
      </c>
      <c r="B7" s="5">
        <f>0</f>
        <v>0</v>
      </c>
      <c r="C7" s="5">
        <f>0</f>
        <v>0</v>
      </c>
      <c r="D7" s="5">
        <f>0</f>
        <v>0</v>
      </c>
      <c r="E7" s="5">
        <f>0</f>
        <v>0</v>
      </c>
      <c r="F7" s="5">
        <f>0</f>
        <v>0</v>
      </c>
      <c r="G7" s="5">
        <f>0</f>
        <v>0</v>
      </c>
      <c r="H7" s="5">
        <f>0</f>
        <v>0</v>
      </c>
      <c r="I7" s="5">
        <f>0</f>
        <v>0</v>
      </c>
      <c r="J7" s="5">
        <f>0</f>
        <v>0</v>
      </c>
      <c r="K7" s="5">
        <f>0</f>
        <v>0</v>
      </c>
      <c r="L7" s="5">
        <f>0</f>
        <v>0</v>
      </c>
      <c r="M7" s="5">
        <f t="shared" ref="M7:M27" si="0">((((((((((B7)+(C7))+(D7))+(E7))+(F7))+(G7))+(H7))+(I7))+(J7))+(K7))+(L7)</f>
        <v>0</v>
      </c>
    </row>
    <row r="8" spans="1:14" x14ac:dyDescent="0.25">
      <c r="A8" s="3" t="s">
        <v>14</v>
      </c>
      <c r="B8" s="5">
        <f>0</f>
        <v>0</v>
      </c>
      <c r="C8" s="5">
        <f>0</f>
        <v>0</v>
      </c>
      <c r="D8" s="5">
        <f>0</f>
        <v>0</v>
      </c>
      <c r="E8" s="5">
        <f>0</f>
        <v>0</v>
      </c>
      <c r="F8" s="5">
        <f>494.8</f>
        <v>494.8</v>
      </c>
      <c r="G8" s="5">
        <f>213.81</f>
        <v>213.81</v>
      </c>
      <c r="H8" s="5">
        <f>496.48</f>
        <v>496.48</v>
      </c>
      <c r="I8" s="5">
        <f>25.62</f>
        <v>25.62</v>
      </c>
      <c r="J8" s="5">
        <f>789.14</f>
        <v>789.14</v>
      </c>
      <c r="K8" s="5">
        <f>32.14</f>
        <v>32.14</v>
      </c>
      <c r="L8" s="5">
        <f>555.69</f>
        <v>555.69000000000005</v>
      </c>
      <c r="M8" s="5">
        <f t="shared" si="0"/>
        <v>2607.6799999999998</v>
      </c>
      <c r="N8" s="13">
        <v>2000</v>
      </c>
    </row>
    <row r="9" spans="1:14" x14ac:dyDescent="0.25">
      <c r="A9" s="3" t="s">
        <v>15</v>
      </c>
      <c r="B9" s="5">
        <f>70</f>
        <v>70</v>
      </c>
      <c r="C9" s="5">
        <f>10</f>
        <v>10</v>
      </c>
      <c r="D9" s="5">
        <f>0</f>
        <v>0</v>
      </c>
      <c r="E9" s="5">
        <f>104</f>
        <v>104</v>
      </c>
      <c r="F9" s="5">
        <f>16</f>
        <v>16</v>
      </c>
      <c r="G9" s="5">
        <f>0</f>
        <v>0</v>
      </c>
      <c r="H9" s="5">
        <f>0</f>
        <v>0</v>
      </c>
      <c r="I9" s="5">
        <f>0</f>
        <v>0</v>
      </c>
      <c r="J9" s="5">
        <f>0</f>
        <v>0</v>
      </c>
      <c r="K9" s="5">
        <f>0</f>
        <v>0</v>
      </c>
      <c r="L9" s="5">
        <f>0</f>
        <v>0</v>
      </c>
      <c r="M9" s="5">
        <f t="shared" si="0"/>
        <v>200</v>
      </c>
      <c r="N9" s="13">
        <v>200</v>
      </c>
    </row>
    <row r="10" spans="1:14" x14ac:dyDescent="0.25">
      <c r="A10" s="3" t="s">
        <v>16</v>
      </c>
      <c r="B10" s="5">
        <f>0</f>
        <v>0</v>
      </c>
      <c r="C10" s="5">
        <f>0</f>
        <v>0</v>
      </c>
      <c r="D10" s="5">
        <f>0</f>
        <v>0</v>
      </c>
      <c r="E10" s="5">
        <f>0</f>
        <v>0</v>
      </c>
      <c r="F10" s="5">
        <f>0</f>
        <v>0</v>
      </c>
      <c r="G10" s="5">
        <f>0</f>
        <v>0</v>
      </c>
      <c r="H10" s="5">
        <f>373</f>
        <v>373</v>
      </c>
      <c r="I10" s="5">
        <f>0</f>
        <v>0</v>
      </c>
      <c r="J10" s="5">
        <f>0</f>
        <v>0</v>
      </c>
      <c r="K10" s="5">
        <f>0</f>
        <v>0</v>
      </c>
      <c r="L10" s="5">
        <f>0</f>
        <v>0</v>
      </c>
      <c r="M10" s="5">
        <f t="shared" si="0"/>
        <v>373</v>
      </c>
      <c r="N10" s="13">
        <v>400</v>
      </c>
    </row>
    <row r="11" spans="1:14" x14ac:dyDescent="0.25">
      <c r="A11" s="3" t="s">
        <v>17</v>
      </c>
      <c r="B11" s="5">
        <f>3.26</f>
        <v>3.26</v>
      </c>
      <c r="C11" s="5">
        <f>2.88</f>
        <v>2.88</v>
      </c>
      <c r="D11" s="5">
        <f>3.37</f>
        <v>3.37</v>
      </c>
      <c r="E11" s="5">
        <f>3.6</f>
        <v>3.6</v>
      </c>
      <c r="F11" s="5">
        <f>3.75</f>
        <v>3.75</v>
      </c>
      <c r="G11" s="5">
        <f>3.16</f>
        <v>3.16</v>
      </c>
      <c r="H11" s="5">
        <f>2.91</f>
        <v>2.91</v>
      </c>
      <c r="I11" s="5">
        <f>2.83</f>
        <v>2.83</v>
      </c>
      <c r="J11" s="5">
        <f>1.22</f>
        <v>1.22</v>
      </c>
      <c r="K11" s="5">
        <f>1.37</f>
        <v>1.37</v>
      </c>
      <c r="L11" s="5">
        <f>1.4</f>
        <v>1.4</v>
      </c>
      <c r="M11" s="5">
        <f t="shared" si="0"/>
        <v>29.749999999999996</v>
      </c>
      <c r="N11" s="13"/>
    </row>
    <row r="12" spans="1:14" x14ac:dyDescent="0.25">
      <c r="A12" s="3" t="s">
        <v>18</v>
      </c>
      <c r="B12" s="5">
        <f>0</f>
        <v>0</v>
      </c>
      <c r="C12" s="5">
        <f>0</f>
        <v>0</v>
      </c>
      <c r="D12" s="5">
        <f>0</f>
        <v>0</v>
      </c>
      <c r="E12" s="5">
        <f>0</f>
        <v>0</v>
      </c>
      <c r="F12" s="5">
        <f>0</f>
        <v>0</v>
      </c>
      <c r="G12" s="5">
        <f>0</f>
        <v>0</v>
      </c>
      <c r="H12" s="5">
        <f>0</f>
        <v>0</v>
      </c>
      <c r="I12" s="5">
        <f>0</f>
        <v>0</v>
      </c>
      <c r="J12" s="5">
        <f>0</f>
        <v>0</v>
      </c>
      <c r="K12" s="5">
        <f>232</f>
        <v>232</v>
      </c>
      <c r="L12" s="5">
        <f>0</f>
        <v>0</v>
      </c>
      <c r="M12" s="5">
        <f t="shared" si="0"/>
        <v>232</v>
      </c>
      <c r="N12" s="13">
        <v>100</v>
      </c>
    </row>
    <row r="13" spans="1:14" x14ac:dyDescent="0.25">
      <c r="A13" s="3" t="s">
        <v>19</v>
      </c>
      <c r="B13" s="5">
        <f>0</f>
        <v>0</v>
      </c>
      <c r="C13" s="5">
        <f>0</f>
        <v>0</v>
      </c>
      <c r="D13" s="5">
        <f>0</f>
        <v>0</v>
      </c>
      <c r="E13" s="5">
        <f>0</f>
        <v>0</v>
      </c>
      <c r="F13" s="5">
        <f>0</f>
        <v>0</v>
      </c>
      <c r="G13" s="5">
        <f>650</f>
        <v>650</v>
      </c>
      <c r="H13" s="5">
        <f>0</f>
        <v>0</v>
      </c>
      <c r="I13" s="5">
        <f>0</f>
        <v>0</v>
      </c>
      <c r="J13" s="5">
        <f>0</f>
        <v>0</v>
      </c>
      <c r="K13" s="5">
        <f>0</f>
        <v>0</v>
      </c>
      <c r="L13" s="5">
        <f>0</f>
        <v>0</v>
      </c>
      <c r="M13" s="5">
        <f t="shared" si="0"/>
        <v>650</v>
      </c>
      <c r="N13" s="13"/>
    </row>
    <row r="14" spans="1:14" x14ac:dyDescent="0.25">
      <c r="A14" s="3" t="s">
        <v>20</v>
      </c>
      <c r="B14" s="5">
        <f>0</f>
        <v>0</v>
      </c>
      <c r="C14" s="5">
        <f>0</f>
        <v>0</v>
      </c>
      <c r="D14" s="5">
        <f>0</f>
        <v>0</v>
      </c>
      <c r="E14" s="5">
        <f>0</f>
        <v>0</v>
      </c>
      <c r="F14" s="5">
        <f>0</f>
        <v>0</v>
      </c>
      <c r="G14" s="5">
        <f>0</f>
        <v>0</v>
      </c>
      <c r="H14" s="5">
        <f>0</f>
        <v>0</v>
      </c>
      <c r="I14" s="5">
        <f>0</f>
        <v>0</v>
      </c>
      <c r="J14" s="5">
        <f>0</f>
        <v>0</v>
      </c>
      <c r="K14" s="5">
        <f>0</f>
        <v>0</v>
      </c>
      <c r="L14" s="5">
        <f>0</f>
        <v>0</v>
      </c>
      <c r="M14" s="5">
        <f t="shared" si="0"/>
        <v>0</v>
      </c>
      <c r="N14" s="13"/>
    </row>
    <row r="15" spans="1:14" x14ac:dyDescent="0.25">
      <c r="A15" s="3" t="s">
        <v>21</v>
      </c>
      <c r="B15" s="5">
        <f>250</f>
        <v>250</v>
      </c>
      <c r="C15" s="5">
        <f>250</f>
        <v>250</v>
      </c>
      <c r="D15" s="5">
        <f>250</f>
        <v>250</v>
      </c>
      <c r="E15" s="5">
        <f>250</f>
        <v>250</v>
      </c>
      <c r="F15" s="5">
        <f>250</f>
        <v>250</v>
      </c>
      <c r="G15" s="5">
        <f>250</f>
        <v>250</v>
      </c>
      <c r="H15" s="5">
        <f>250</f>
        <v>250</v>
      </c>
      <c r="I15" s="5">
        <f>250</f>
        <v>250</v>
      </c>
      <c r="J15" s="5">
        <f>250</f>
        <v>250</v>
      </c>
      <c r="K15" s="5">
        <f>250</f>
        <v>250</v>
      </c>
      <c r="L15" s="5">
        <f>250</f>
        <v>250</v>
      </c>
      <c r="M15" s="5">
        <f t="shared" si="0"/>
        <v>2750</v>
      </c>
      <c r="N15" s="13" t="s">
        <v>91</v>
      </c>
    </row>
    <row r="16" spans="1:14" x14ac:dyDescent="0.25">
      <c r="A16" s="3" t="s">
        <v>22</v>
      </c>
      <c r="B16" s="5">
        <f>1717.46</f>
        <v>1717.46</v>
      </c>
      <c r="C16" s="5">
        <f>2391.62</f>
        <v>2391.62</v>
      </c>
      <c r="D16" s="5">
        <f>4499.43</f>
        <v>4499.43</v>
      </c>
      <c r="E16" s="5">
        <f>1667.71</f>
        <v>1667.71</v>
      </c>
      <c r="F16" s="5">
        <f>2532.68</f>
        <v>2532.6799999999998</v>
      </c>
      <c r="G16" s="5">
        <f>4439.22</f>
        <v>4439.22</v>
      </c>
      <c r="H16" s="5">
        <f>2652.84</f>
        <v>2652.84</v>
      </c>
      <c r="I16" s="5">
        <f>3692.99</f>
        <v>3692.99</v>
      </c>
      <c r="J16" s="5">
        <f>2420.73</f>
        <v>2420.73</v>
      </c>
      <c r="K16" s="5">
        <f>2526.46</f>
        <v>2526.46</v>
      </c>
      <c r="L16" s="5">
        <f>2260.29</f>
        <v>2260.29</v>
      </c>
      <c r="M16" s="5">
        <f t="shared" si="0"/>
        <v>30801.430000000004</v>
      </c>
      <c r="N16" s="13" t="s">
        <v>91</v>
      </c>
    </row>
    <row r="17" spans="1:14" x14ac:dyDescent="0.25">
      <c r="A17" s="3" t="s">
        <v>23</v>
      </c>
      <c r="B17" s="5">
        <f>1630</f>
        <v>1630</v>
      </c>
      <c r="C17" s="5">
        <f>4120</f>
        <v>4120</v>
      </c>
      <c r="D17" s="5">
        <f>17905</f>
        <v>17905</v>
      </c>
      <c r="E17" s="5">
        <f>8982</f>
        <v>8982</v>
      </c>
      <c r="F17" s="5">
        <f>3600</f>
        <v>3600</v>
      </c>
      <c r="G17" s="5">
        <f>1805</f>
        <v>1805</v>
      </c>
      <c r="H17" s="5">
        <f>2185</f>
        <v>2185</v>
      </c>
      <c r="I17" s="5">
        <f>4940</f>
        <v>4940</v>
      </c>
      <c r="J17" s="5">
        <f>5650</f>
        <v>5650</v>
      </c>
      <c r="K17" s="5">
        <f>12176.25</f>
        <v>12176.25</v>
      </c>
      <c r="L17" s="5">
        <f>750</f>
        <v>750</v>
      </c>
      <c r="M17" s="5">
        <f t="shared" si="0"/>
        <v>63743.25</v>
      </c>
      <c r="N17" s="13" t="s">
        <v>91</v>
      </c>
    </row>
    <row r="18" spans="1:14" x14ac:dyDescent="0.25">
      <c r="A18" s="3" t="s">
        <v>24</v>
      </c>
      <c r="B18" s="6">
        <f t="shared" ref="B18:L18" si="1">(((B14)+(B15))+(B16))+(B17)</f>
        <v>3597.46</v>
      </c>
      <c r="C18" s="6">
        <f t="shared" si="1"/>
        <v>6761.62</v>
      </c>
      <c r="D18" s="6">
        <f t="shared" si="1"/>
        <v>22654.43</v>
      </c>
      <c r="E18" s="6">
        <f t="shared" si="1"/>
        <v>10899.71</v>
      </c>
      <c r="F18" s="6">
        <f t="shared" si="1"/>
        <v>6382.68</v>
      </c>
      <c r="G18" s="6">
        <f t="shared" si="1"/>
        <v>6494.22</v>
      </c>
      <c r="H18" s="6">
        <f t="shared" si="1"/>
        <v>5087.84</v>
      </c>
      <c r="I18" s="6">
        <f t="shared" si="1"/>
        <v>8882.99</v>
      </c>
      <c r="J18" s="6">
        <f t="shared" si="1"/>
        <v>8320.73</v>
      </c>
      <c r="K18" s="6">
        <f t="shared" si="1"/>
        <v>14952.71</v>
      </c>
      <c r="L18" s="6">
        <f t="shared" si="1"/>
        <v>3260.29</v>
      </c>
      <c r="M18" s="6">
        <f t="shared" si="0"/>
        <v>97294.680000000008</v>
      </c>
      <c r="N18" s="14">
        <v>97500</v>
      </c>
    </row>
    <row r="19" spans="1:14" x14ac:dyDescent="0.25">
      <c r="A19" s="3" t="s">
        <v>25</v>
      </c>
      <c r="B19" s="5">
        <f>0</f>
        <v>0</v>
      </c>
      <c r="C19" s="5">
        <f>0</f>
        <v>0</v>
      </c>
      <c r="D19" s="5">
        <f>0</f>
        <v>0</v>
      </c>
      <c r="E19" s="5">
        <f>0</f>
        <v>0</v>
      </c>
      <c r="F19" s="5">
        <f>0</f>
        <v>0</v>
      </c>
      <c r="G19" s="5">
        <f>0</f>
        <v>0</v>
      </c>
      <c r="H19" s="5">
        <f>0</f>
        <v>0</v>
      </c>
      <c r="I19" s="5">
        <f>0</f>
        <v>0</v>
      </c>
      <c r="J19" s="5">
        <f>12.46</f>
        <v>12.46</v>
      </c>
      <c r="K19" s="5">
        <f>0</f>
        <v>0</v>
      </c>
      <c r="L19" s="5">
        <f>0</f>
        <v>0</v>
      </c>
      <c r="M19" s="5">
        <f t="shared" si="0"/>
        <v>12.46</v>
      </c>
      <c r="N19" s="15"/>
    </row>
    <row r="20" spans="1:14" x14ac:dyDescent="0.25">
      <c r="A20" s="3" t="s">
        <v>26</v>
      </c>
      <c r="B20" s="5">
        <f>0</f>
        <v>0</v>
      </c>
      <c r="C20" s="5">
        <f>0</f>
        <v>0</v>
      </c>
      <c r="D20" s="5">
        <f>0</f>
        <v>0</v>
      </c>
      <c r="E20" s="5">
        <f>0</f>
        <v>0</v>
      </c>
      <c r="F20" s="5">
        <f>0</f>
        <v>0</v>
      </c>
      <c r="G20" s="5">
        <f>0</f>
        <v>0</v>
      </c>
      <c r="H20" s="5">
        <f>0</f>
        <v>0</v>
      </c>
      <c r="I20" s="5">
        <f>100</f>
        <v>100</v>
      </c>
      <c r="J20" s="5">
        <f>0</f>
        <v>0</v>
      </c>
      <c r="K20" s="5">
        <f>0</f>
        <v>0</v>
      </c>
      <c r="L20" s="5">
        <f>0</f>
        <v>0</v>
      </c>
      <c r="M20" s="5">
        <f t="shared" si="0"/>
        <v>100</v>
      </c>
      <c r="N20" s="15"/>
    </row>
    <row r="21" spans="1:14" x14ac:dyDescent="0.25">
      <c r="A21" s="3" t="s">
        <v>27</v>
      </c>
      <c r="B21" s="5">
        <f>0</f>
        <v>0</v>
      </c>
      <c r="C21" s="5">
        <f>0</f>
        <v>0</v>
      </c>
      <c r="D21" s="5">
        <f>0</f>
        <v>0</v>
      </c>
      <c r="E21" s="5">
        <f>0</f>
        <v>0</v>
      </c>
      <c r="F21" s="5">
        <f>0</f>
        <v>0</v>
      </c>
      <c r="G21" s="5">
        <f>0</f>
        <v>0</v>
      </c>
      <c r="H21" s="5">
        <f>0</f>
        <v>0</v>
      </c>
      <c r="I21" s="5">
        <f>0</f>
        <v>0</v>
      </c>
      <c r="J21" s="5">
        <f>0</f>
        <v>0</v>
      </c>
      <c r="K21" s="5">
        <f>693.39</f>
        <v>693.39</v>
      </c>
      <c r="L21" s="5">
        <f>45</f>
        <v>45</v>
      </c>
      <c r="M21" s="5">
        <f t="shared" si="0"/>
        <v>738.39</v>
      </c>
      <c r="N21" s="16">
        <v>600</v>
      </c>
    </row>
    <row r="22" spans="1:14" x14ac:dyDescent="0.25">
      <c r="A22" s="3" t="s">
        <v>28</v>
      </c>
      <c r="B22" s="5">
        <f>0</f>
        <v>0</v>
      </c>
      <c r="C22" s="5">
        <f>0</f>
        <v>0</v>
      </c>
      <c r="D22" s="5">
        <f>0</f>
        <v>0</v>
      </c>
      <c r="E22" s="5">
        <f>0</f>
        <v>0</v>
      </c>
      <c r="F22" s="5">
        <f>0</f>
        <v>0</v>
      </c>
      <c r="G22" s="5">
        <f>0</f>
        <v>0</v>
      </c>
      <c r="H22" s="5">
        <f>0</f>
        <v>0</v>
      </c>
      <c r="I22" s="5">
        <f>0</f>
        <v>0</v>
      </c>
      <c r="J22" s="5">
        <f>0</f>
        <v>0</v>
      </c>
      <c r="K22" s="5">
        <f>7.9</f>
        <v>7.9</v>
      </c>
      <c r="L22" s="5">
        <f>0</f>
        <v>0</v>
      </c>
      <c r="M22" s="5">
        <f t="shared" si="0"/>
        <v>7.9</v>
      </c>
      <c r="N22" s="16"/>
    </row>
    <row r="23" spans="1:14" x14ac:dyDescent="0.25">
      <c r="A23" s="3" t="s">
        <v>29</v>
      </c>
      <c r="B23" s="5">
        <f>0</f>
        <v>0</v>
      </c>
      <c r="C23" s="5">
        <f>0</f>
        <v>0</v>
      </c>
      <c r="D23" s="5">
        <f>176</f>
        <v>176</v>
      </c>
      <c r="E23" s="5">
        <f>0</f>
        <v>0</v>
      </c>
      <c r="F23" s="5">
        <f>0</f>
        <v>0</v>
      </c>
      <c r="G23" s="5">
        <f>0</f>
        <v>0</v>
      </c>
      <c r="H23" s="5">
        <f>0</f>
        <v>0</v>
      </c>
      <c r="I23" s="5">
        <f>0</f>
        <v>0</v>
      </c>
      <c r="J23" s="5">
        <f>0</f>
        <v>0</v>
      </c>
      <c r="K23" s="5">
        <f>0</f>
        <v>0</v>
      </c>
      <c r="L23" s="5">
        <f>9</f>
        <v>9</v>
      </c>
      <c r="M23" s="5">
        <f t="shared" si="0"/>
        <v>185</v>
      </c>
      <c r="N23" s="15"/>
    </row>
    <row r="24" spans="1:14" x14ac:dyDescent="0.25">
      <c r="A24" s="3" t="s">
        <v>30</v>
      </c>
      <c r="B24" s="5">
        <f>0</f>
        <v>0</v>
      </c>
      <c r="C24" s="5">
        <f>0</f>
        <v>0</v>
      </c>
      <c r="D24" s="5">
        <f>0</f>
        <v>0</v>
      </c>
      <c r="E24" s="5">
        <f>0</f>
        <v>0</v>
      </c>
      <c r="F24" s="5">
        <f>0</f>
        <v>0</v>
      </c>
      <c r="G24" s="5">
        <f>0</f>
        <v>0</v>
      </c>
      <c r="H24" s="5">
        <f>0</f>
        <v>0</v>
      </c>
      <c r="I24" s="5">
        <f>0</f>
        <v>0</v>
      </c>
      <c r="J24" s="5">
        <f>0</f>
        <v>0</v>
      </c>
      <c r="K24" s="5">
        <f>0</f>
        <v>0</v>
      </c>
      <c r="L24" s="5">
        <f>200</f>
        <v>200</v>
      </c>
      <c r="M24" s="5">
        <f t="shared" si="0"/>
        <v>200</v>
      </c>
      <c r="N24" s="17"/>
    </row>
    <row r="25" spans="1:14" x14ac:dyDescent="0.25">
      <c r="A25" s="3" t="s">
        <v>31</v>
      </c>
      <c r="B25" s="6">
        <f t="shared" ref="B25:L25" si="2">(((((((((((((B7)+(B8))+(B9))+(B10))+(B11))+(B12))+(B13))+(B18))+(B19))+(B20))+(B21))+(B22))+(B23))+(B24)</f>
        <v>3670.7200000000003</v>
      </c>
      <c r="C25" s="6">
        <f t="shared" si="2"/>
        <v>6774.5</v>
      </c>
      <c r="D25" s="6">
        <f t="shared" si="2"/>
        <v>22833.8</v>
      </c>
      <c r="E25" s="6">
        <f t="shared" si="2"/>
        <v>11007.31</v>
      </c>
      <c r="F25" s="6">
        <f t="shared" si="2"/>
        <v>6897.2300000000005</v>
      </c>
      <c r="G25" s="6">
        <f t="shared" si="2"/>
        <v>7361.1900000000005</v>
      </c>
      <c r="H25" s="6">
        <f t="shared" si="2"/>
        <v>5960.2300000000005</v>
      </c>
      <c r="I25" s="6">
        <f t="shared" si="2"/>
        <v>9011.44</v>
      </c>
      <c r="J25" s="6">
        <f t="shared" si="2"/>
        <v>9123.5499999999993</v>
      </c>
      <c r="K25" s="6">
        <f t="shared" si="2"/>
        <v>15919.509999999998</v>
      </c>
      <c r="L25" s="6">
        <f t="shared" si="2"/>
        <v>4071.38</v>
      </c>
      <c r="M25" s="6">
        <f t="shared" si="0"/>
        <v>102630.86000000002</v>
      </c>
      <c r="N25" s="18">
        <v>100800</v>
      </c>
    </row>
    <row r="26" spans="1:14" x14ac:dyDescent="0.25">
      <c r="A26" s="3" t="s">
        <v>32</v>
      </c>
      <c r="B26" s="6">
        <f t="shared" ref="B26:L26" si="3">B25</f>
        <v>3670.7200000000003</v>
      </c>
      <c r="C26" s="6">
        <f t="shared" si="3"/>
        <v>6774.5</v>
      </c>
      <c r="D26" s="6">
        <f t="shared" si="3"/>
        <v>22833.8</v>
      </c>
      <c r="E26" s="6">
        <f t="shared" si="3"/>
        <v>11007.31</v>
      </c>
      <c r="F26" s="6">
        <f t="shared" si="3"/>
        <v>6897.2300000000005</v>
      </c>
      <c r="G26" s="6">
        <f t="shared" si="3"/>
        <v>7361.1900000000005</v>
      </c>
      <c r="H26" s="6">
        <f t="shared" si="3"/>
        <v>5960.2300000000005</v>
      </c>
      <c r="I26" s="6">
        <f t="shared" si="3"/>
        <v>9011.44</v>
      </c>
      <c r="J26" s="6">
        <f t="shared" si="3"/>
        <v>9123.5499999999993</v>
      </c>
      <c r="K26" s="6">
        <f t="shared" si="3"/>
        <v>15919.509999999998</v>
      </c>
      <c r="L26" s="6">
        <f t="shared" si="3"/>
        <v>4071.38</v>
      </c>
      <c r="M26" s="6">
        <f t="shared" si="0"/>
        <v>102630.86000000002</v>
      </c>
      <c r="N26" s="13"/>
    </row>
    <row r="27" spans="1:14" x14ac:dyDescent="0.25">
      <c r="A27" s="3" t="s">
        <v>33</v>
      </c>
      <c r="B27" s="6">
        <f t="shared" ref="B27:L27" si="4">(B26)-(0)</f>
        <v>3670.7200000000003</v>
      </c>
      <c r="C27" s="6">
        <f t="shared" si="4"/>
        <v>6774.5</v>
      </c>
      <c r="D27" s="6">
        <f t="shared" si="4"/>
        <v>22833.8</v>
      </c>
      <c r="E27" s="6">
        <f t="shared" si="4"/>
        <v>11007.31</v>
      </c>
      <c r="F27" s="6">
        <f t="shared" si="4"/>
        <v>6897.2300000000005</v>
      </c>
      <c r="G27" s="6">
        <f t="shared" si="4"/>
        <v>7361.1900000000005</v>
      </c>
      <c r="H27" s="6">
        <f t="shared" si="4"/>
        <v>5960.2300000000005</v>
      </c>
      <c r="I27" s="6">
        <f t="shared" si="4"/>
        <v>9011.44</v>
      </c>
      <c r="J27" s="6">
        <f t="shared" si="4"/>
        <v>9123.5499999999993</v>
      </c>
      <c r="K27" s="6">
        <f t="shared" si="4"/>
        <v>15919.509999999998</v>
      </c>
      <c r="L27" s="6">
        <f t="shared" si="4"/>
        <v>4071.38</v>
      </c>
      <c r="M27" s="6">
        <f t="shared" si="0"/>
        <v>102630.86000000002</v>
      </c>
      <c r="N27" s="18">
        <v>100800</v>
      </c>
    </row>
    <row r="28" spans="1:14" x14ac:dyDescent="0.25">
      <c r="A28" s="3" t="s">
        <v>34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13"/>
    </row>
    <row r="29" spans="1:14" x14ac:dyDescent="0.25">
      <c r="A29" s="3" t="s">
        <v>35</v>
      </c>
      <c r="B29" s="5">
        <f>190</f>
        <v>190</v>
      </c>
      <c r="C29" s="5">
        <f>60</f>
        <v>60</v>
      </c>
      <c r="D29" s="5">
        <f>0</f>
        <v>0</v>
      </c>
      <c r="E29" s="5">
        <f>0</f>
        <v>0</v>
      </c>
      <c r="F29" s="5">
        <f>320</f>
        <v>320</v>
      </c>
      <c r="G29" s="5">
        <f>0</f>
        <v>0</v>
      </c>
      <c r="H29" s="5">
        <f>0</f>
        <v>0</v>
      </c>
      <c r="I29" s="5">
        <f>0</f>
        <v>0</v>
      </c>
      <c r="J29" s="5">
        <f>0</f>
        <v>0</v>
      </c>
      <c r="K29" s="5">
        <f>26.98</f>
        <v>26.98</v>
      </c>
      <c r="L29" s="5">
        <f>0</f>
        <v>0</v>
      </c>
      <c r="M29" s="5">
        <f t="shared" ref="M29:M60" si="5">((((((((((B29)+(C29))+(D29))+(E29))+(F29))+(G29))+(H29))+(I29))+(J29))+(K29))+(L29)</f>
        <v>596.98</v>
      </c>
      <c r="N29" s="13">
        <v>750</v>
      </c>
    </row>
    <row r="30" spans="1:14" x14ac:dyDescent="0.25">
      <c r="A30" s="3" t="s">
        <v>36</v>
      </c>
      <c r="B30" s="5">
        <f>325</f>
        <v>325</v>
      </c>
      <c r="C30" s="5">
        <f>325</f>
        <v>325</v>
      </c>
      <c r="D30" s="5">
        <f>325</f>
        <v>325</v>
      </c>
      <c r="E30" s="5">
        <f>325</f>
        <v>325</v>
      </c>
      <c r="F30" s="5">
        <f>325</f>
        <v>325</v>
      </c>
      <c r="G30" s="5">
        <f>325</f>
        <v>325</v>
      </c>
      <c r="H30" s="5">
        <f>325</f>
        <v>325</v>
      </c>
      <c r="I30" s="5">
        <f>325</f>
        <v>325</v>
      </c>
      <c r="J30" s="5">
        <f>325</f>
        <v>325</v>
      </c>
      <c r="K30" s="5">
        <f>325</f>
        <v>325</v>
      </c>
      <c r="L30" s="5">
        <f>325</f>
        <v>325</v>
      </c>
      <c r="M30" s="5">
        <f t="shared" si="5"/>
        <v>3575</v>
      </c>
      <c r="N30" s="13"/>
    </row>
    <row r="31" spans="1:14" x14ac:dyDescent="0.25">
      <c r="A31" s="3" t="s">
        <v>18</v>
      </c>
      <c r="B31" s="5">
        <f>0</f>
        <v>0</v>
      </c>
      <c r="C31" s="5">
        <f>0</f>
        <v>0</v>
      </c>
      <c r="D31" s="5">
        <f>0</f>
        <v>0</v>
      </c>
      <c r="E31" s="5">
        <f>0</f>
        <v>0</v>
      </c>
      <c r="F31" s="5">
        <f>0</f>
        <v>0</v>
      </c>
      <c r="G31" s="5">
        <f>0</f>
        <v>0</v>
      </c>
      <c r="H31" s="5">
        <f>0</f>
        <v>0</v>
      </c>
      <c r="I31" s="5">
        <f>0</f>
        <v>0</v>
      </c>
      <c r="J31" s="5">
        <f>0</f>
        <v>0</v>
      </c>
      <c r="K31" s="5">
        <f>0</f>
        <v>0</v>
      </c>
      <c r="L31" s="5">
        <f>232</f>
        <v>232</v>
      </c>
      <c r="M31" s="5">
        <f t="shared" si="5"/>
        <v>232</v>
      </c>
      <c r="N31" s="13"/>
    </row>
    <row r="32" spans="1:14" x14ac:dyDescent="0.25">
      <c r="A32" s="3" t="s">
        <v>37</v>
      </c>
      <c r="B32" s="6">
        <f t="shared" ref="B32:L32" si="6">(B30)+(B31)</f>
        <v>325</v>
      </c>
      <c r="C32" s="6">
        <f t="shared" si="6"/>
        <v>325</v>
      </c>
      <c r="D32" s="6">
        <f t="shared" si="6"/>
        <v>325</v>
      </c>
      <c r="E32" s="6">
        <f t="shared" si="6"/>
        <v>325</v>
      </c>
      <c r="F32" s="6">
        <f t="shared" si="6"/>
        <v>325</v>
      </c>
      <c r="G32" s="6">
        <f t="shared" si="6"/>
        <v>325</v>
      </c>
      <c r="H32" s="6">
        <f t="shared" si="6"/>
        <v>325</v>
      </c>
      <c r="I32" s="6">
        <f t="shared" si="6"/>
        <v>325</v>
      </c>
      <c r="J32" s="6">
        <f t="shared" si="6"/>
        <v>325</v>
      </c>
      <c r="K32" s="6">
        <f t="shared" si="6"/>
        <v>325</v>
      </c>
      <c r="L32" s="6">
        <f t="shared" si="6"/>
        <v>557</v>
      </c>
      <c r="M32" s="6">
        <f t="shared" si="5"/>
        <v>3807</v>
      </c>
      <c r="N32" s="13">
        <v>3900</v>
      </c>
    </row>
    <row r="33" spans="1:14" x14ac:dyDescent="0.25">
      <c r="A33" s="3" t="s">
        <v>38</v>
      </c>
      <c r="B33" s="5">
        <f>0</f>
        <v>0</v>
      </c>
      <c r="C33" s="5">
        <f>0</f>
        <v>0</v>
      </c>
      <c r="D33" s="5">
        <f>0</f>
        <v>0</v>
      </c>
      <c r="E33" s="5">
        <f>36.46</f>
        <v>36.46</v>
      </c>
      <c r="F33" s="5">
        <f>0</f>
        <v>0</v>
      </c>
      <c r="G33" s="5">
        <f>550</f>
        <v>550</v>
      </c>
      <c r="H33" s="5">
        <f>247.27</f>
        <v>247.27</v>
      </c>
      <c r="I33" s="5">
        <f>0</f>
        <v>0</v>
      </c>
      <c r="J33" s="5">
        <f>789.14</f>
        <v>789.14</v>
      </c>
      <c r="K33" s="5">
        <f>0</f>
        <v>0</v>
      </c>
      <c r="L33" s="5">
        <f>271.29</f>
        <v>271.29000000000002</v>
      </c>
      <c r="M33" s="5">
        <f t="shared" si="5"/>
        <v>1894.1599999999999</v>
      </c>
      <c r="N33" s="13">
        <v>2000</v>
      </c>
    </row>
    <row r="34" spans="1:14" x14ac:dyDescent="0.25">
      <c r="A34" s="3" t="s">
        <v>39</v>
      </c>
      <c r="B34" s="5">
        <f>0</f>
        <v>0</v>
      </c>
      <c r="C34" s="5">
        <f>0</f>
        <v>0</v>
      </c>
      <c r="D34" s="5">
        <f>0</f>
        <v>0</v>
      </c>
      <c r="E34" s="5">
        <f>0</f>
        <v>0</v>
      </c>
      <c r="F34" s="5">
        <f>0</f>
        <v>0</v>
      </c>
      <c r="G34" s="5">
        <f>0</f>
        <v>0</v>
      </c>
      <c r="H34" s="5">
        <f>0</f>
        <v>0</v>
      </c>
      <c r="I34" s="5">
        <f>0</f>
        <v>0</v>
      </c>
      <c r="J34" s="5">
        <f>0</f>
        <v>0</v>
      </c>
      <c r="K34" s="5">
        <f>0</f>
        <v>0</v>
      </c>
      <c r="L34" s="5">
        <f>0</f>
        <v>0</v>
      </c>
      <c r="M34" s="5">
        <f t="shared" si="5"/>
        <v>0</v>
      </c>
      <c r="N34" s="13"/>
    </row>
    <row r="35" spans="1:14" x14ac:dyDescent="0.25">
      <c r="A35" s="3" t="s">
        <v>40</v>
      </c>
      <c r="B35" s="5">
        <f>600</f>
        <v>600</v>
      </c>
      <c r="C35" s="5">
        <f>0</f>
        <v>0</v>
      </c>
      <c r="D35" s="5">
        <f>0</f>
        <v>0</v>
      </c>
      <c r="E35" s="5">
        <f>0</f>
        <v>0</v>
      </c>
      <c r="F35" s="5">
        <f>0</f>
        <v>0</v>
      </c>
      <c r="G35" s="5">
        <f>0</f>
        <v>0</v>
      </c>
      <c r="H35" s="5">
        <f>0</f>
        <v>0</v>
      </c>
      <c r="I35" s="5">
        <f>0</f>
        <v>0</v>
      </c>
      <c r="J35" s="5">
        <f>0</f>
        <v>0</v>
      </c>
      <c r="K35" s="5">
        <f>0</f>
        <v>0</v>
      </c>
      <c r="L35" s="5">
        <f>0</f>
        <v>0</v>
      </c>
      <c r="M35" s="5">
        <f t="shared" si="5"/>
        <v>600</v>
      </c>
      <c r="N35" s="13">
        <v>550</v>
      </c>
    </row>
    <row r="36" spans="1:14" x14ac:dyDescent="0.25">
      <c r="A36" s="3" t="s">
        <v>41</v>
      </c>
      <c r="B36" s="5">
        <f>0</f>
        <v>0</v>
      </c>
      <c r="C36" s="5">
        <f>0</f>
        <v>0</v>
      </c>
      <c r="D36" s="5">
        <f>0</f>
        <v>0</v>
      </c>
      <c r="E36" s="5">
        <f>147</f>
        <v>147</v>
      </c>
      <c r="F36" s="5">
        <f>494.8</f>
        <v>494.8</v>
      </c>
      <c r="G36" s="5">
        <f>991.69</f>
        <v>991.69</v>
      </c>
      <c r="H36" s="5">
        <f>47.67</f>
        <v>47.67</v>
      </c>
      <c r="I36" s="5">
        <f>172.62</f>
        <v>172.62</v>
      </c>
      <c r="J36" s="5">
        <f>0</f>
        <v>0</v>
      </c>
      <c r="K36" s="5">
        <f>179.14</f>
        <v>179.14</v>
      </c>
      <c r="L36" s="5">
        <f>0</f>
        <v>0</v>
      </c>
      <c r="M36" s="5">
        <f t="shared" si="5"/>
        <v>2032.92</v>
      </c>
      <c r="N36" s="13">
        <v>2000</v>
      </c>
    </row>
    <row r="37" spans="1:14" x14ac:dyDescent="0.25">
      <c r="A37" s="3" t="s">
        <v>42</v>
      </c>
      <c r="B37" s="5">
        <f>50</f>
        <v>50</v>
      </c>
      <c r="C37" s="5">
        <f>100</f>
        <v>100</v>
      </c>
      <c r="D37" s="5">
        <f>705</f>
        <v>705</v>
      </c>
      <c r="E37" s="5">
        <f>925</f>
        <v>925</v>
      </c>
      <c r="F37" s="5">
        <f>0</f>
        <v>0</v>
      </c>
      <c r="G37" s="5">
        <f>0</f>
        <v>0</v>
      </c>
      <c r="H37" s="5">
        <f>0</f>
        <v>0</v>
      </c>
      <c r="I37" s="5">
        <f>0</f>
        <v>0</v>
      </c>
      <c r="J37" s="5">
        <f>0</f>
        <v>0</v>
      </c>
      <c r="K37" s="5">
        <f>0</f>
        <v>0</v>
      </c>
      <c r="L37" s="5">
        <f>0</f>
        <v>0</v>
      </c>
      <c r="M37" s="5">
        <f t="shared" si="5"/>
        <v>1780</v>
      </c>
      <c r="N37" s="19">
        <v>2500</v>
      </c>
    </row>
    <row r="38" spans="1:14" x14ac:dyDescent="0.25">
      <c r="A38" s="3" t="s">
        <v>43</v>
      </c>
      <c r="B38" s="5">
        <f>0</f>
        <v>0</v>
      </c>
      <c r="C38" s="5">
        <f>78.3</f>
        <v>78.3</v>
      </c>
      <c r="D38" s="5">
        <f>0</f>
        <v>0</v>
      </c>
      <c r="E38" s="5">
        <f>170.62</f>
        <v>170.62</v>
      </c>
      <c r="F38" s="5">
        <f>0</f>
        <v>0</v>
      </c>
      <c r="G38" s="5">
        <f>0</f>
        <v>0</v>
      </c>
      <c r="H38" s="5">
        <f>3.64</f>
        <v>3.64</v>
      </c>
      <c r="I38" s="5">
        <f>0</f>
        <v>0</v>
      </c>
      <c r="J38" s="5">
        <f>0</f>
        <v>0</v>
      </c>
      <c r="K38" s="5">
        <f>94.45</f>
        <v>94.45</v>
      </c>
      <c r="L38" s="5">
        <f>0</f>
        <v>0</v>
      </c>
      <c r="M38" s="5">
        <f t="shared" si="5"/>
        <v>347.01</v>
      </c>
      <c r="N38" s="19">
        <v>313.2</v>
      </c>
    </row>
    <row r="39" spans="1:14" x14ac:dyDescent="0.25">
      <c r="A39" s="3" t="s">
        <v>44</v>
      </c>
      <c r="B39" s="6">
        <f t="shared" ref="B39:L39" si="7">((((B34)+(B35))+(B36))+(B37))+(B38)</f>
        <v>650</v>
      </c>
      <c r="C39" s="6">
        <f t="shared" si="7"/>
        <v>178.3</v>
      </c>
      <c r="D39" s="6">
        <f t="shared" si="7"/>
        <v>705</v>
      </c>
      <c r="E39" s="6">
        <f t="shared" si="7"/>
        <v>1242.6199999999999</v>
      </c>
      <c r="F39" s="6">
        <f t="shared" si="7"/>
        <v>494.8</v>
      </c>
      <c r="G39" s="6">
        <f t="shared" si="7"/>
        <v>991.69</v>
      </c>
      <c r="H39" s="6">
        <f t="shared" si="7"/>
        <v>51.31</v>
      </c>
      <c r="I39" s="6">
        <f t="shared" si="7"/>
        <v>172.62</v>
      </c>
      <c r="J39" s="6">
        <f t="shared" si="7"/>
        <v>0</v>
      </c>
      <c r="K39" s="6">
        <f t="shared" si="7"/>
        <v>273.58999999999997</v>
      </c>
      <c r="L39" s="6">
        <f t="shared" si="7"/>
        <v>0</v>
      </c>
      <c r="M39" s="6">
        <f t="shared" si="5"/>
        <v>4759.93</v>
      </c>
      <c r="N39" s="20">
        <v>5363.2</v>
      </c>
    </row>
    <row r="40" spans="1:14" x14ac:dyDescent="0.25">
      <c r="A40" s="3" t="s">
        <v>45</v>
      </c>
      <c r="B40" s="5">
        <f>0</f>
        <v>0</v>
      </c>
      <c r="C40" s="5">
        <f>0</f>
        <v>0</v>
      </c>
      <c r="D40" s="5">
        <f>0</f>
        <v>0</v>
      </c>
      <c r="E40" s="5">
        <f>0</f>
        <v>0</v>
      </c>
      <c r="F40" s="5">
        <f>0</f>
        <v>0</v>
      </c>
      <c r="G40" s="5">
        <f>0</f>
        <v>0</v>
      </c>
      <c r="H40" s="5">
        <f>0</f>
        <v>0</v>
      </c>
      <c r="I40" s="5">
        <f>42775</f>
        <v>42775</v>
      </c>
      <c r="J40" s="5">
        <f>0</f>
        <v>0</v>
      </c>
      <c r="K40" s="5">
        <f>2800</f>
        <v>2800</v>
      </c>
      <c r="L40" s="5">
        <f>0</f>
        <v>0</v>
      </c>
      <c r="M40" s="5">
        <f t="shared" si="5"/>
        <v>45575</v>
      </c>
      <c r="N40" s="21">
        <v>41000</v>
      </c>
    </row>
    <row r="41" spans="1:14" x14ac:dyDescent="0.25">
      <c r="A41" s="3" t="s">
        <v>46</v>
      </c>
      <c r="B41" s="5">
        <f>0</f>
        <v>0</v>
      </c>
      <c r="C41" s="5">
        <f>0</f>
        <v>0</v>
      </c>
      <c r="D41" s="5">
        <f>0</f>
        <v>0</v>
      </c>
      <c r="E41" s="5">
        <f>525</f>
        <v>525</v>
      </c>
      <c r="F41" s="5">
        <f>0</f>
        <v>0</v>
      </c>
      <c r="G41" s="5">
        <f>1125</f>
        <v>1125</v>
      </c>
      <c r="H41" s="5">
        <f>279.5</f>
        <v>279.5</v>
      </c>
      <c r="I41" s="5">
        <f>0</f>
        <v>0</v>
      </c>
      <c r="J41" s="5">
        <f>17.19</f>
        <v>17.190000000000001</v>
      </c>
      <c r="K41" s="5">
        <f>22.93</f>
        <v>22.93</v>
      </c>
      <c r="L41" s="5">
        <f>19.5</f>
        <v>19.5</v>
      </c>
      <c r="M41" s="5">
        <f t="shared" si="5"/>
        <v>1989.1200000000001</v>
      </c>
      <c r="N41" s="21">
        <v>700</v>
      </c>
    </row>
    <row r="42" spans="1:14" x14ac:dyDescent="0.25">
      <c r="A42" s="3" t="s">
        <v>47</v>
      </c>
      <c r="B42" s="5">
        <f>0</f>
        <v>0</v>
      </c>
      <c r="C42" s="5">
        <f>0</f>
        <v>0</v>
      </c>
      <c r="D42" s="5">
        <f>0</f>
        <v>0</v>
      </c>
      <c r="E42" s="5">
        <f>0</f>
        <v>0</v>
      </c>
      <c r="F42" s="5">
        <f>0</f>
        <v>0</v>
      </c>
      <c r="G42" s="5">
        <f>0</f>
        <v>0</v>
      </c>
      <c r="H42" s="5">
        <f>0</f>
        <v>0</v>
      </c>
      <c r="I42" s="5">
        <f>82.53</f>
        <v>82.53</v>
      </c>
      <c r="J42" s="5">
        <f>0</f>
        <v>0</v>
      </c>
      <c r="K42" s="5">
        <f>0</f>
        <v>0</v>
      </c>
      <c r="L42" s="5">
        <f>0</f>
        <v>0</v>
      </c>
      <c r="M42" s="5">
        <f t="shared" si="5"/>
        <v>82.53</v>
      </c>
      <c r="N42" s="21">
        <v>1000</v>
      </c>
    </row>
    <row r="43" spans="1:14" x14ac:dyDescent="0.25">
      <c r="A43" s="3" t="s">
        <v>48</v>
      </c>
      <c r="B43" s="5">
        <f>0</f>
        <v>0</v>
      </c>
      <c r="C43" s="5">
        <f>0</f>
        <v>0</v>
      </c>
      <c r="D43" s="5">
        <f>0</f>
        <v>0</v>
      </c>
      <c r="E43" s="5">
        <f>0</f>
        <v>0</v>
      </c>
      <c r="F43" s="5">
        <f>0</f>
        <v>0</v>
      </c>
      <c r="G43" s="5">
        <f>0</f>
        <v>0</v>
      </c>
      <c r="H43" s="5">
        <f>0</f>
        <v>0</v>
      </c>
      <c r="I43" s="5">
        <f>0</f>
        <v>0</v>
      </c>
      <c r="J43" s="5">
        <f>0</f>
        <v>0</v>
      </c>
      <c r="K43" s="5">
        <f>0</f>
        <v>0</v>
      </c>
      <c r="L43" s="5">
        <f>0</f>
        <v>0</v>
      </c>
      <c r="M43" s="5">
        <f t="shared" si="5"/>
        <v>0</v>
      </c>
      <c r="N43" s="21"/>
    </row>
    <row r="44" spans="1:14" x14ac:dyDescent="0.25">
      <c r="A44" s="3" t="s">
        <v>49</v>
      </c>
      <c r="B44" s="5">
        <f>0</f>
        <v>0</v>
      </c>
      <c r="C44" s="5">
        <f>0</f>
        <v>0</v>
      </c>
      <c r="D44" s="5">
        <f>0</f>
        <v>0</v>
      </c>
      <c r="E44" s="5">
        <f>0</f>
        <v>0</v>
      </c>
      <c r="F44" s="5">
        <f>2694.5</f>
        <v>2694.5</v>
      </c>
      <c r="G44" s="5">
        <f>0</f>
        <v>0</v>
      </c>
      <c r="H44" s="5">
        <f>0</f>
        <v>0</v>
      </c>
      <c r="I44" s="5">
        <f>0</f>
        <v>0</v>
      </c>
      <c r="J44" s="5">
        <f>0</f>
        <v>0</v>
      </c>
      <c r="K44" s="5">
        <f>0</f>
        <v>0</v>
      </c>
      <c r="L44" s="5">
        <f>0</f>
        <v>0</v>
      </c>
      <c r="M44" s="5">
        <f t="shared" si="5"/>
        <v>2694.5</v>
      </c>
      <c r="N44" s="13">
        <v>5800</v>
      </c>
    </row>
    <row r="45" spans="1:14" x14ac:dyDescent="0.25">
      <c r="A45" s="3" t="s">
        <v>50</v>
      </c>
      <c r="B45" s="5">
        <f>491</f>
        <v>491</v>
      </c>
      <c r="C45" s="5">
        <f>0</f>
        <v>0</v>
      </c>
      <c r="D45" s="5">
        <f>349</f>
        <v>349</v>
      </c>
      <c r="E45" s="5">
        <f>0</f>
        <v>0</v>
      </c>
      <c r="F45" s="5">
        <f>0</f>
        <v>0</v>
      </c>
      <c r="G45" s="5">
        <f>0</f>
        <v>0</v>
      </c>
      <c r="H45" s="5">
        <f>0</f>
        <v>0</v>
      </c>
      <c r="I45" s="5">
        <f>0</f>
        <v>0</v>
      </c>
      <c r="J45" s="5">
        <f>0</f>
        <v>0</v>
      </c>
      <c r="K45" s="5">
        <f>0</f>
        <v>0</v>
      </c>
      <c r="L45" s="5">
        <f>0</f>
        <v>0</v>
      </c>
      <c r="M45" s="5">
        <f t="shared" si="5"/>
        <v>840</v>
      </c>
      <c r="N45" s="13">
        <v>750</v>
      </c>
    </row>
    <row r="46" spans="1:14" x14ac:dyDescent="0.25">
      <c r="A46" s="3" t="s">
        <v>51</v>
      </c>
      <c r="B46" s="6">
        <f t="shared" ref="B46:L46" si="8">((B43)+(B44))+(B45)</f>
        <v>491</v>
      </c>
      <c r="C46" s="6">
        <f t="shared" si="8"/>
        <v>0</v>
      </c>
      <c r="D46" s="6">
        <f t="shared" si="8"/>
        <v>349</v>
      </c>
      <c r="E46" s="6">
        <f t="shared" si="8"/>
        <v>0</v>
      </c>
      <c r="F46" s="6">
        <f t="shared" si="8"/>
        <v>2694.5</v>
      </c>
      <c r="G46" s="6">
        <f t="shared" si="8"/>
        <v>0</v>
      </c>
      <c r="H46" s="6">
        <f t="shared" si="8"/>
        <v>0</v>
      </c>
      <c r="I46" s="6">
        <f t="shared" si="8"/>
        <v>0</v>
      </c>
      <c r="J46" s="6">
        <f t="shared" si="8"/>
        <v>0</v>
      </c>
      <c r="K46" s="6">
        <f t="shared" si="8"/>
        <v>0</v>
      </c>
      <c r="L46" s="6">
        <f t="shared" si="8"/>
        <v>0</v>
      </c>
      <c r="M46" s="6">
        <f t="shared" si="5"/>
        <v>3534.5</v>
      </c>
      <c r="N46" s="20">
        <v>6550</v>
      </c>
    </row>
    <row r="47" spans="1:14" x14ac:dyDescent="0.25">
      <c r="A47" s="3" t="s">
        <v>52</v>
      </c>
      <c r="B47" s="5">
        <f>586.95</f>
        <v>586.95000000000005</v>
      </c>
      <c r="C47" s="5">
        <f>585.06</f>
        <v>585.05999999999995</v>
      </c>
      <c r="D47" s="5">
        <f>526.62</f>
        <v>526.62</v>
      </c>
      <c r="E47" s="5">
        <f>580.83</f>
        <v>580.83000000000004</v>
      </c>
      <c r="F47" s="5">
        <f>560.31</f>
        <v>560.30999999999995</v>
      </c>
      <c r="G47" s="5">
        <f>576.79</f>
        <v>576.79</v>
      </c>
      <c r="H47" s="5">
        <f>556.26</f>
        <v>556.26</v>
      </c>
      <c r="I47" s="5">
        <f>572.85</f>
        <v>572.85</v>
      </c>
      <c r="J47" s="5">
        <f>570.71</f>
        <v>570.71</v>
      </c>
      <c r="K47" s="5">
        <f>550.35</f>
        <v>550.35</v>
      </c>
      <c r="L47" s="5">
        <f>566.64</f>
        <v>566.64</v>
      </c>
      <c r="M47" s="5">
        <f t="shared" si="5"/>
        <v>6233.3700000000008</v>
      </c>
      <c r="N47" s="13">
        <v>7000</v>
      </c>
    </row>
    <row r="48" spans="1:14" x14ac:dyDescent="0.25">
      <c r="A48" s="3" t="s">
        <v>53</v>
      </c>
      <c r="B48" s="5">
        <f>0</f>
        <v>0</v>
      </c>
      <c r="C48" s="5">
        <f>0</f>
        <v>0</v>
      </c>
      <c r="D48" s="5">
        <f>0</f>
        <v>0</v>
      </c>
      <c r="E48" s="5">
        <f>0</f>
        <v>0</v>
      </c>
      <c r="F48" s="5">
        <f>5000</f>
        <v>5000</v>
      </c>
      <c r="G48" s="5">
        <f>0</f>
        <v>0</v>
      </c>
      <c r="H48" s="5">
        <f>0</f>
        <v>0</v>
      </c>
      <c r="I48" s="5">
        <f>0</f>
        <v>0</v>
      </c>
      <c r="J48" s="5">
        <f>0</f>
        <v>0</v>
      </c>
      <c r="K48" s="5">
        <f>0</f>
        <v>0</v>
      </c>
      <c r="L48" s="5">
        <f>0</f>
        <v>0</v>
      </c>
      <c r="M48" s="5">
        <f t="shared" si="5"/>
        <v>5000</v>
      </c>
      <c r="N48" s="13">
        <v>5000</v>
      </c>
    </row>
    <row r="49" spans="1:14" x14ac:dyDescent="0.25">
      <c r="A49" s="3" t="s">
        <v>54</v>
      </c>
      <c r="B49" s="5">
        <f>0</f>
        <v>0</v>
      </c>
      <c r="C49" s="5">
        <f>0</f>
        <v>0</v>
      </c>
      <c r="D49" s="5">
        <f>0</f>
        <v>0</v>
      </c>
      <c r="E49" s="5">
        <f>0</f>
        <v>0</v>
      </c>
      <c r="F49" s="5">
        <f>0</f>
        <v>0</v>
      </c>
      <c r="G49" s="5">
        <f>0</f>
        <v>0</v>
      </c>
      <c r="H49" s="5">
        <f>0</f>
        <v>0</v>
      </c>
      <c r="I49" s="5">
        <f>0</f>
        <v>0</v>
      </c>
      <c r="J49" s="5">
        <f>0</f>
        <v>0</v>
      </c>
      <c r="K49" s="5">
        <f>0</f>
        <v>0</v>
      </c>
      <c r="L49" s="5">
        <f>0</f>
        <v>0</v>
      </c>
      <c r="M49" s="5">
        <f t="shared" si="5"/>
        <v>0</v>
      </c>
      <c r="N49" s="13"/>
    </row>
    <row r="50" spans="1:14" x14ac:dyDescent="0.25">
      <c r="A50" s="3" t="s">
        <v>55</v>
      </c>
      <c r="B50" s="5">
        <f>66.75</f>
        <v>66.75</v>
      </c>
      <c r="C50" s="5">
        <f>62</f>
        <v>62</v>
      </c>
      <c r="D50" s="5">
        <f>62</f>
        <v>62</v>
      </c>
      <c r="E50" s="5">
        <f>62</f>
        <v>62</v>
      </c>
      <c r="F50" s="5">
        <f>62</f>
        <v>62</v>
      </c>
      <c r="G50" s="5">
        <f>333.93</f>
        <v>333.93</v>
      </c>
      <c r="H50" s="5">
        <f>57</f>
        <v>57</v>
      </c>
      <c r="I50" s="5">
        <f>57</f>
        <v>57</v>
      </c>
      <c r="J50" s="5">
        <f>57</f>
        <v>57</v>
      </c>
      <c r="K50" s="5">
        <f>57</f>
        <v>57</v>
      </c>
      <c r="L50" s="5">
        <f>57</f>
        <v>57</v>
      </c>
      <c r="M50" s="5">
        <f t="shared" si="5"/>
        <v>933.68000000000006</v>
      </c>
      <c r="N50" s="13">
        <v>1000</v>
      </c>
    </row>
    <row r="51" spans="1:14" x14ac:dyDescent="0.25">
      <c r="A51" s="3" t="s">
        <v>56</v>
      </c>
      <c r="B51" s="5">
        <f>146.23</f>
        <v>146.22999999999999</v>
      </c>
      <c r="C51" s="5">
        <f>166.49</f>
        <v>166.49</v>
      </c>
      <c r="D51" s="5">
        <f>177.46</f>
        <v>177.46</v>
      </c>
      <c r="E51" s="5">
        <f>342.64</f>
        <v>342.64</v>
      </c>
      <c r="F51" s="5">
        <f>172.55</f>
        <v>172.55</v>
      </c>
      <c r="G51" s="5">
        <f>156.7</f>
        <v>156.69999999999999</v>
      </c>
      <c r="H51" s="5">
        <f>263.68</f>
        <v>263.68</v>
      </c>
      <c r="I51" s="5">
        <f>144.6</f>
        <v>144.6</v>
      </c>
      <c r="J51" s="5">
        <f>221.67</f>
        <v>221.67</v>
      </c>
      <c r="K51" s="5">
        <f>172.76</f>
        <v>172.76</v>
      </c>
      <c r="L51" s="5">
        <f>169.01</f>
        <v>169.01</v>
      </c>
      <c r="M51" s="5">
        <f t="shared" si="5"/>
        <v>2133.79</v>
      </c>
      <c r="N51" s="13">
        <v>1700</v>
      </c>
    </row>
    <row r="52" spans="1:14" x14ac:dyDescent="0.25">
      <c r="A52" s="3" t="s">
        <v>57</v>
      </c>
      <c r="B52" s="5">
        <f>60</f>
        <v>60</v>
      </c>
      <c r="C52" s="5">
        <f>85.8</f>
        <v>85.8</v>
      </c>
      <c r="D52" s="5">
        <f>118</f>
        <v>118</v>
      </c>
      <c r="E52" s="5">
        <f>81.06</f>
        <v>81.06</v>
      </c>
      <c r="F52" s="5">
        <f>179.88</f>
        <v>179.88</v>
      </c>
      <c r="G52" s="5">
        <f>83.35</f>
        <v>83.35</v>
      </c>
      <c r="H52" s="5">
        <f>0</f>
        <v>0</v>
      </c>
      <c r="I52" s="5">
        <f>94.41</f>
        <v>94.41</v>
      </c>
      <c r="J52" s="5">
        <f>0</f>
        <v>0</v>
      </c>
      <c r="K52" s="5">
        <f>0</f>
        <v>0</v>
      </c>
      <c r="L52" s="5">
        <f>425.37</f>
        <v>425.37</v>
      </c>
      <c r="M52" s="5">
        <f t="shared" si="5"/>
        <v>1127.8699999999999</v>
      </c>
      <c r="N52" s="13">
        <v>750</v>
      </c>
    </row>
    <row r="53" spans="1:14" x14ac:dyDescent="0.25">
      <c r="A53" s="3" t="s">
        <v>58</v>
      </c>
      <c r="B53" s="5">
        <f>2099.18</f>
        <v>2099.1799999999998</v>
      </c>
      <c r="C53" s="5">
        <f>2171.84</f>
        <v>2171.84</v>
      </c>
      <c r="D53" s="5">
        <f>2171.83</f>
        <v>2171.83</v>
      </c>
      <c r="E53" s="5">
        <f>2103.2</f>
        <v>2103.1999999999998</v>
      </c>
      <c r="F53" s="5">
        <f>2054.78</f>
        <v>2054.7800000000002</v>
      </c>
      <c r="G53" s="5">
        <f>3096.27</f>
        <v>3096.27</v>
      </c>
      <c r="H53" s="5">
        <f>2054.78</f>
        <v>2054.7800000000002</v>
      </c>
      <c r="I53" s="5">
        <f>2103.21</f>
        <v>2103.21</v>
      </c>
      <c r="J53" s="5">
        <f>2131.47</f>
        <v>2131.4699999999998</v>
      </c>
      <c r="K53" s="5">
        <f>0</f>
        <v>0</v>
      </c>
      <c r="L53" s="5">
        <f>0</f>
        <v>0</v>
      </c>
      <c r="M53" s="5">
        <f t="shared" si="5"/>
        <v>19986.560000000001</v>
      </c>
      <c r="N53" s="13">
        <v>21500</v>
      </c>
    </row>
    <row r="54" spans="1:14" x14ac:dyDescent="0.25">
      <c r="A54" s="3" t="s">
        <v>59</v>
      </c>
      <c r="B54" s="6">
        <f t="shared" ref="B54:L54" si="9">((((B49)+(B50))+(B51))+(B52))+(B53)</f>
        <v>2372.16</v>
      </c>
      <c r="C54" s="6">
        <f t="shared" si="9"/>
        <v>2486.13</v>
      </c>
      <c r="D54" s="6">
        <f t="shared" si="9"/>
        <v>2529.29</v>
      </c>
      <c r="E54" s="6">
        <f t="shared" si="9"/>
        <v>2588.8999999999996</v>
      </c>
      <c r="F54" s="6">
        <f t="shared" si="9"/>
        <v>2469.21</v>
      </c>
      <c r="G54" s="6">
        <f t="shared" si="9"/>
        <v>3670.25</v>
      </c>
      <c r="H54" s="6">
        <f t="shared" si="9"/>
        <v>2375.46</v>
      </c>
      <c r="I54" s="6">
        <f t="shared" si="9"/>
        <v>2399.2200000000003</v>
      </c>
      <c r="J54" s="6">
        <f t="shared" si="9"/>
        <v>2410.14</v>
      </c>
      <c r="K54" s="6">
        <f t="shared" si="9"/>
        <v>229.76</v>
      </c>
      <c r="L54" s="6">
        <f t="shared" si="9"/>
        <v>651.38</v>
      </c>
      <c r="M54" s="6">
        <f t="shared" si="5"/>
        <v>24181.899999999998</v>
      </c>
      <c r="N54" s="20">
        <v>25350</v>
      </c>
    </row>
    <row r="55" spans="1:14" x14ac:dyDescent="0.25">
      <c r="A55" s="3" t="s">
        <v>60</v>
      </c>
      <c r="B55" s="5">
        <f>0</f>
        <v>0</v>
      </c>
      <c r="C55" s="5">
        <f>0</f>
        <v>0</v>
      </c>
      <c r="D55" s="5">
        <f>0</f>
        <v>0</v>
      </c>
      <c r="E55" s="5">
        <f>0</f>
        <v>0</v>
      </c>
      <c r="F55" s="5">
        <f>0</f>
        <v>0</v>
      </c>
      <c r="G55" s="5">
        <f>0</f>
        <v>0</v>
      </c>
      <c r="H55" s="5">
        <f>0</f>
        <v>0</v>
      </c>
      <c r="I55" s="5">
        <f>0</f>
        <v>0</v>
      </c>
      <c r="J55" s="5">
        <f>0</f>
        <v>0</v>
      </c>
      <c r="K55" s="5">
        <f>0</f>
        <v>0</v>
      </c>
      <c r="L55" s="5">
        <f>0</f>
        <v>0</v>
      </c>
      <c r="M55" s="5">
        <f t="shared" si="5"/>
        <v>0</v>
      </c>
      <c r="N55" s="13"/>
    </row>
    <row r="56" spans="1:14" x14ac:dyDescent="0.25">
      <c r="A56" s="3" t="s">
        <v>61</v>
      </c>
      <c r="B56" s="5">
        <f>0</f>
        <v>0</v>
      </c>
      <c r="C56" s="5">
        <f>0</f>
        <v>0</v>
      </c>
      <c r="D56" s="5">
        <f>0</f>
        <v>0</v>
      </c>
      <c r="E56" s="5">
        <f>117.95</f>
        <v>117.95</v>
      </c>
      <c r="F56" s="5">
        <f>0</f>
        <v>0</v>
      </c>
      <c r="G56" s="5">
        <f>0</f>
        <v>0</v>
      </c>
      <c r="H56" s="5">
        <f>0</f>
        <v>0</v>
      </c>
      <c r="I56" s="5">
        <f>0</f>
        <v>0</v>
      </c>
      <c r="J56" s="5">
        <f>0</f>
        <v>0</v>
      </c>
      <c r="K56" s="5">
        <f>0</f>
        <v>0</v>
      </c>
      <c r="L56" s="5">
        <f>0</f>
        <v>0</v>
      </c>
      <c r="M56" s="5">
        <f t="shared" si="5"/>
        <v>117.95</v>
      </c>
      <c r="N56" s="13">
        <v>50</v>
      </c>
    </row>
    <row r="57" spans="1:14" x14ac:dyDescent="0.25">
      <c r="A57" s="3" t="s">
        <v>62</v>
      </c>
      <c r="B57" s="6">
        <f t="shared" ref="B57:L57" si="10">(B55)+(B56)</f>
        <v>0</v>
      </c>
      <c r="C57" s="6">
        <f t="shared" si="10"/>
        <v>0</v>
      </c>
      <c r="D57" s="6">
        <f t="shared" si="10"/>
        <v>0</v>
      </c>
      <c r="E57" s="6">
        <f t="shared" si="10"/>
        <v>117.95</v>
      </c>
      <c r="F57" s="6">
        <f t="shared" si="10"/>
        <v>0</v>
      </c>
      <c r="G57" s="6">
        <f t="shared" si="10"/>
        <v>0</v>
      </c>
      <c r="H57" s="6">
        <f t="shared" si="10"/>
        <v>0</v>
      </c>
      <c r="I57" s="6">
        <f t="shared" si="10"/>
        <v>0</v>
      </c>
      <c r="J57" s="6">
        <f t="shared" si="10"/>
        <v>0</v>
      </c>
      <c r="K57" s="6">
        <f t="shared" si="10"/>
        <v>0</v>
      </c>
      <c r="L57" s="6">
        <f t="shared" si="10"/>
        <v>0</v>
      </c>
      <c r="M57" s="6">
        <f t="shared" si="5"/>
        <v>117.95</v>
      </c>
      <c r="N57" s="22">
        <v>4700</v>
      </c>
    </row>
    <row r="58" spans="1:14" x14ac:dyDescent="0.25">
      <c r="A58" s="3" t="s">
        <v>63</v>
      </c>
      <c r="B58" s="5">
        <f>0</f>
        <v>0</v>
      </c>
      <c r="C58" s="5">
        <f>0</f>
        <v>0</v>
      </c>
      <c r="D58" s="5">
        <f>0</f>
        <v>0</v>
      </c>
      <c r="E58" s="5">
        <f>0</f>
        <v>0</v>
      </c>
      <c r="F58" s="5">
        <f>0</f>
        <v>0</v>
      </c>
      <c r="G58" s="5">
        <f>0</f>
        <v>0</v>
      </c>
      <c r="H58" s="5">
        <f>0</f>
        <v>0</v>
      </c>
      <c r="I58" s="5">
        <f>0</f>
        <v>0</v>
      </c>
      <c r="J58" s="5">
        <f>0</f>
        <v>0</v>
      </c>
      <c r="K58" s="5">
        <f>0</f>
        <v>0</v>
      </c>
      <c r="L58" s="5">
        <f>0</f>
        <v>0</v>
      </c>
      <c r="M58" s="5">
        <f t="shared" si="5"/>
        <v>0</v>
      </c>
      <c r="N58" s="13"/>
    </row>
    <row r="59" spans="1:14" x14ac:dyDescent="0.25">
      <c r="A59" s="3" t="s">
        <v>64</v>
      </c>
      <c r="B59" s="5">
        <f>0</f>
        <v>0</v>
      </c>
      <c r="C59" s="5">
        <f>0</f>
        <v>0</v>
      </c>
      <c r="D59" s="5">
        <f>0</f>
        <v>0</v>
      </c>
      <c r="E59" s="5">
        <f>0</f>
        <v>0</v>
      </c>
      <c r="F59" s="5">
        <f>1250</f>
        <v>1250</v>
      </c>
      <c r="G59" s="5">
        <f>0</f>
        <v>0</v>
      </c>
      <c r="H59" s="5">
        <f>0</f>
        <v>0</v>
      </c>
      <c r="I59" s="5">
        <f>0</f>
        <v>0</v>
      </c>
      <c r="J59" s="5">
        <f>0</f>
        <v>0</v>
      </c>
      <c r="K59" s="5">
        <f>0</f>
        <v>0</v>
      </c>
      <c r="L59" s="5">
        <f>0</f>
        <v>0</v>
      </c>
      <c r="M59" s="5">
        <f t="shared" si="5"/>
        <v>1250</v>
      </c>
      <c r="N59" s="13">
        <v>2500</v>
      </c>
    </row>
    <row r="60" spans="1:14" x14ac:dyDescent="0.25">
      <c r="A60" s="3" t="s">
        <v>65</v>
      </c>
      <c r="B60" s="5">
        <f>0</f>
        <v>0</v>
      </c>
      <c r="C60" s="5">
        <f>0</f>
        <v>0</v>
      </c>
      <c r="D60" s="5">
        <f>0</f>
        <v>0</v>
      </c>
      <c r="E60" s="5">
        <f>0</f>
        <v>0</v>
      </c>
      <c r="F60" s="5">
        <f>0</f>
        <v>0</v>
      </c>
      <c r="G60" s="5">
        <f>1366.66</f>
        <v>1366.66</v>
      </c>
      <c r="H60" s="5">
        <f>1101.7</f>
        <v>1101.7</v>
      </c>
      <c r="I60" s="5">
        <f>1101.7</f>
        <v>1101.7</v>
      </c>
      <c r="J60" s="5">
        <f>1101.7</f>
        <v>1101.7</v>
      </c>
      <c r="K60" s="5">
        <f>1101.7</f>
        <v>1101.7</v>
      </c>
      <c r="L60" s="5">
        <f>1101.7</f>
        <v>1101.7</v>
      </c>
      <c r="M60" s="5">
        <f t="shared" si="5"/>
        <v>6875.16</v>
      </c>
      <c r="N60" s="13">
        <v>16000</v>
      </c>
    </row>
    <row r="61" spans="1:14" x14ac:dyDescent="0.25">
      <c r="A61" s="3" t="s">
        <v>66</v>
      </c>
      <c r="B61" s="5">
        <f>1680</f>
        <v>1680</v>
      </c>
      <c r="C61" s="5">
        <f>1680</f>
        <v>1680</v>
      </c>
      <c r="D61" s="5">
        <f>1680</f>
        <v>1680</v>
      </c>
      <c r="E61" s="5">
        <f>840</f>
        <v>840</v>
      </c>
      <c r="F61" s="5">
        <f>770</f>
        <v>770</v>
      </c>
      <c r="G61" s="5">
        <f>3928.08</f>
        <v>3928.08</v>
      </c>
      <c r="H61" s="5">
        <f>2615.62</f>
        <v>2615.62</v>
      </c>
      <c r="I61" s="5">
        <f>2615.62</f>
        <v>2615.62</v>
      </c>
      <c r="J61" s="5">
        <f>2615.62</f>
        <v>2615.62</v>
      </c>
      <c r="K61" s="5">
        <f>2615.62</f>
        <v>2615.62</v>
      </c>
      <c r="L61" s="5">
        <f>3923.43</f>
        <v>3923.43</v>
      </c>
      <c r="M61" s="5">
        <f t="shared" ref="M61:M92" si="11">((((((((((B61)+(C61))+(D61))+(E61))+(F61))+(G61))+(H61))+(I61))+(J61))+(K61))+(L61)</f>
        <v>24963.989999999998</v>
      </c>
      <c r="N61" s="13">
        <v>35000</v>
      </c>
    </row>
    <row r="62" spans="1:14" x14ac:dyDescent="0.25">
      <c r="A62" s="3" t="s">
        <v>67</v>
      </c>
      <c r="B62" s="5">
        <f>0</f>
        <v>0</v>
      </c>
      <c r="C62" s="5">
        <f>0</f>
        <v>0</v>
      </c>
      <c r="D62" s="5">
        <f>175</f>
        <v>175</v>
      </c>
      <c r="E62" s="5">
        <f>525</f>
        <v>525</v>
      </c>
      <c r="F62" s="5">
        <f>325</f>
        <v>325</v>
      </c>
      <c r="G62" s="5">
        <f>0</f>
        <v>0</v>
      </c>
      <c r="H62" s="5">
        <f>0</f>
        <v>0</v>
      </c>
      <c r="I62" s="5">
        <f>175</f>
        <v>175</v>
      </c>
      <c r="J62" s="5">
        <f>0</f>
        <v>0</v>
      </c>
      <c r="K62" s="5">
        <f>0</f>
        <v>0</v>
      </c>
      <c r="L62" s="5">
        <f>0</f>
        <v>0</v>
      </c>
      <c r="M62" s="5">
        <f t="shared" si="11"/>
        <v>1200</v>
      </c>
      <c r="N62" s="13">
        <v>1200</v>
      </c>
    </row>
    <row r="63" spans="1:14" x14ac:dyDescent="0.25">
      <c r="A63" s="3" t="s">
        <v>68</v>
      </c>
      <c r="B63" s="6">
        <f t="shared" ref="B63:L63" si="12">((((B58)+(B59))+(B60))+(B61))+(B62)</f>
        <v>1680</v>
      </c>
      <c r="C63" s="6">
        <f t="shared" si="12"/>
        <v>1680</v>
      </c>
      <c r="D63" s="6">
        <f t="shared" si="12"/>
        <v>1855</v>
      </c>
      <c r="E63" s="6">
        <f t="shared" si="12"/>
        <v>1365</v>
      </c>
      <c r="F63" s="6">
        <f t="shared" si="12"/>
        <v>2345</v>
      </c>
      <c r="G63" s="6">
        <f t="shared" si="12"/>
        <v>5294.74</v>
      </c>
      <c r="H63" s="6">
        <f t="shared" si="12"/>
        <v>3717.3199999999997</v>
      </c>
      <c r="I63" s="6">
        <f t="shared" si="12"/>
        <v>3892.3199999999997</v>
      </c>
      <c r="J63" s="6">
        <f t="shared" si="12"/>
        <v>3717.3199999999997</v>
      </c>
      <c r="K63" s="6">
        <f t="shared" si="12"/>
        <v>3717.3199999999997</v>
      </c>
      <c r="L63" s="6">
        <f t="shared" si="12"/>
        <v>5025.13</v>
      </c>
      <c r="M63" s="6">
        <f t="shared" si="11"/>
        <v>34289.149999999994</v>
      </c>
      <c r="N63" s="20">
        <v>54700</v>
      </c>
    </row>
    <row r="64" spans="1:14" x14ac:dyDescent="0.25">
      <c r="A64" s="3" t="s">
        <v>69</v>
      </c>
      <c r="B64" s="5">
        <f>10</f>
        <v>10</v>
      </c>
      <c r="C64" s="5">
        <f>0</f>
        <v>0</v>
      </c>
      <c r="D64" s="5">
        <f>0</f>
        <v>0</v>
      </c>
      <c r="E64" s="5">
        <f>25</f>
        <v>25</v>
      </c>
      <c r="F64" s="5">
        <f>0</f>
        <v>0</v>
      </c>
      <c r="G64" s="5">
        <f>0</f>
        <v>0</v>
      </c>
      <c r="H64" s="5">
        <f>0</f>
        <v>0</v>
      </c>
      <c r="I64" s="5">
        <f>0</f>
        <v>0</v>
      </c>
      <c r="J64" s="5">
        <f>0</f>
        <v>0</v>
      </c>
      <c r="K64" s="5">
        <f>0</f>
        <v>0</v>
      </c>
      <c r="L64" s="5">
        <f>0</f>
        <v>0</v>
      </c>
      <c r="M64" s="5">
        <f t="shared" si="11"/>
        <v>35</v>
      </c>
      <c r="N64" s="13" t="s">
        <v>92</v>
      </c>
    </row>
    <row r="65" spans="1:14" x14ac:dyDescent="0.25">
      <c r="A65" s="3" t="s">
        <v>70</v>
      </c>
      <c r="B65" s="5">
        <f>0</f>
        <v>0</v>
      </c>
      <c r="C65" s="5">
        <f>0</f>
        <v>0</v>
      </c>
      <c r="D65" s="5">
        <f>0</f>
        <v>0</v>
      </c>
      <c r="E65" s="5">
        <f>0</f>
        <v>0</v>
      </c>
      <c r="F65" s="5">
        <f>0</f>
        <v>0</v>
      </c>
      <c r="G65" s="5">
        <f>0</f>
        <v>0</v>
      </c>
      <c r="H65" s="5">
        <f>0</f>
        <v>0</v>
      </c>
      <c r="I65" s="5">
        <f>448.83</f>
        <v>448.83</v>
      </c>
      <c r="J65" s="5">
        <f>0</f>
        <v>0</v>
      </c>
      <c r="K65" s="5">
        <f>0</f>
        <v>0</v>
      </c>
      <c r="L65" s="5">
        <f>0</f>
        <v>0</v>
      </c>
      <c r="M65" s="5">
        <f t="shared" si="11"/>
        <v>448.83</v>
      </c>
      <c r="N65" s="13"/>
    </row>
    <row r="66" spans="1:14" x14ac:dyDescent="0.25">
      <c r="A66" s="3" t="s">
        <v>71</v>
      </c>
      <c r="B66" s="5">
        <f>100.24</f>
        <v>100.24</v>
      </c>
      <c r="C66" s="5">
        <f>0</f>
        <v>0</v>
      </c>
      <c r="D66" s="5">
        <f>112.32</f>
        <v>112.32</v>
      </c>
      <c r="E66" s="5">
        <f>273.04</f>
        <v>273.04000000000002</v>
      </c>
      <c r="F66" s="5">
        <f>25</f>
        <v>25</v>
      </c>
      <c r="G66" s="5">
        <f>0</f>
        <v>0</v>
      </c>
      <c r="H66" s="5">
        <f>49.17</f>
        <v>49.17</v>
      </c>
      <c r="I66" s="5">
        <f>107.72</f>
        <v>107.72</v>
      </c>
      <c r="J66" s="5">
        <f>5.81</f>
        <v>5.81</v>
      </c>
      <c r="K66" s="5">
        <f>85.81</f>
        <v>85.81</v>
      </c>
      <c r="L66" s="5">
        <f>27</f>
        <v>27</v>
      </c>
      <c r="M66" s="5">
        <f t="shared" si="11"/>
        <v>786.1099999999999</v>
      </c>
      <c r="N66" s="13">
        <v>1000</v>
      </c>
    </row>
    <row r="67" spans="1:14" x14ac:dyDescent="0.25">
      <c r="A67" s="3" t="s">
        <v>72</v>
      </c>
      <c r="B67" s="6">
        <f t="shared" ref="B67:L67" si="13">(B65)+(B66)</f>
        <v>100.24</v>
      </c>
      <c r="C67" s="6">
        <f t="shared" si="13"/>
        <v>0</v>
      </c>
      <c r="D67" s="6">
        <f t="shared" si="13"/>
        <v>112.32</v>
      </c>
      <c r="E67" s="6">
        <f t="shared" si="13"/>
        <v>273.04000000000002</v>
      </c>
      <c r="F67" s="6">
        <f t="shared" si="13"/>
        <v>25</v>
      </c>
      <c r="G67" s="6">
        <f t="shared" si="13"/>
        <v>0</v>
      </c>
      <c r="H67" s="6">
        <f t="shared" si="13"/>
        <v>49.17</v>
      </c>
      <c r="I67" s="6">
        <f t="shared" si="13"/>
        <v>556.54999999999995</v>
      </c>
      <c r="J67" s="6">
        <f t="shared" si="13"/>
        <v>5.81</v>
      </c>
      <c r="K67" s="6">
        <f t="shared" si="13"/>
        <v>85.81</v>
      </c>
      <c r="L67" s="6">
        <f t="shared" si="13"/>
        <v>27</v>
      </c>
      <c r="M67" s="6">
        <f t="shared" si="11"/>
        <v>1234.9399999999998</v>
      </c>
      <c r="N67" s="20">
        <v>1000</v>
      </c>
    </row>
    <row r="68" spans="1:14" x14ac:dyDescent="0.25">
      <c r="A68" s="3" t="s">
        <v>73</v>
      </c>
      <c r="B68" s="5">
        <f>0</f>
        <v>0</v>
      </c>
      <c r="C68" s="5">
        <f>0</f>
        <v>0</v>
      </c>
      <c r="D68" s="5">
        <f>0</f>
        <v>0</v>
      </c>
      <c r="E68" s="5">
        <f>0</f>
        <v>0</v>
      </c>
      <c r="F68" s="5">
        <f>0</f>
        <v>0</v>
      </c>
      <c r="G68" s="5">
        <f>0</f>
        <v>0</v>
      </c>
      <c r="H68" s="5">
        <f>0</f>
        <v>0</v>
      </c>
      <c r="I68" s="5">
        <f>0</f>
        <v>0</v>
      </c>
      <c r="J68" s="5">
        <f>0</f>
        <v>0</v>
      </c>
      <c r="K68" s="5">
        <f>0</f>
        <v>0</v>
      </c>
      <c r="L68" s="5">
        <f>0</f>
        <v>0</v>
      </c>
      <c r="M68" s="5">
        <f t="shared" si="11"/>
        <v>0</v>
      </c>
      <c r="N68" s="13"/>
    </row>
    <row r="69" spans="1:14" x14ac:dyDescent="0.25">
      <c r="A69" s="3" t="s">
        <v>74</v>
      </c>
      <c r="B69" s="5">
        <f>1038.38</f>
        <v>1038.3800000000001</v>
      </c>
      <c r="C69" s="5">
        <f>0</f>
        <v>0</v>
      </c>
      <c r="D69" s="5">
        <f>2024.23</f>
        <v>2024.23</v>
      </c>
      <c r="E69" s="5">
        <f>869.74</f>
        <v>869.74</v>
      </c>
      <c r="F69" s="5">
        <f>602.4</f>
        <v>602.4</v>
      </c>
      <c r="G69" s="5">
        <f>319.42</f>
        <v>319.42</v>
      </c>
      <c r="H69" s="5">
        <f>205.5</f>
        <v>205.5</v>
      </c>
      <c r="I69" s="5">
        <f>197.34</f>
        <v>197.34</v>
      </c>
      <c r="J69" s="5">
        <f>230.04</f>
        <v>230.04</v>
      </c>
      <c r="K69" s="5">
        <f>257.69</f>
        <v>257.69</v>
      </c>
      <c r="L69" s="5">
        <f>368.28</f>
        <v>368.28</v>
      </c>
      <c r="M69" s="5">
        <f t="shared" si="11"/>
        <v>6113.0199999999995</v>
      </c>
      <c r="N69" s="13">
        <v>6000</v>
      </c>
    </row>
    <row r="70" spans="1:14" x14ac:dyDescent="0.25">
      <c r="A70" s="3" t="s">
        <v>75</v>
      </c>
      <c r="B70" s="5">
        <f>157</f>
        <v>157</v>
      </c>
      <c r="C70" s="5">
        <f>151.56</f>
        <v>151.56</v>
      </c>
      <c r="D70" s="5">
        <f>154.28</f>
        <v>154.28</v>
      </c>
      <c r="E70" s="5">
        <f>153.91</f>
        <v>153.91</v>
      </c>
      <c r="F70" s="5">
        <f>153.91</f>
        <v>153.91</v>
      </c>
      <c r="G70" s="5">
        <f>153.91</f>
        <v>153.91</v>
      </c>
      <c r="H70" s="5">
        <f>155.5</f>
        <v>155.5</v>
      </c>
      <c r="I70" s="5">
        <f>155.5</f>
        <v>155.5</v>
      </c>
      <c r="J70" s="5">
        <f>155.5</f>
        <v>155.5</v>
      </c>
      <c r="K70" s="5">
        <f>154.77</f>
        <v>154.77000000000001</v>
      </c>
      <c r="L70" s="5">
        <f>154.77</f>
        <v>154.77000000000001</v>
      </c>
      <c r="M70" s="5">
        <f t="shared" si="11"/>
        <v>1700.61</v>
      </c>
      <c r="N70" s="13">
        <v>1800</v>
      </c>
    </row>
    <row r="71" spans="1:14" x14ac:dyDescent="0.25">
      <c r="A71" s="3" t="s">
        <v>76</v>
      </c>
      <c r="B71" s="5">
        <f>0</f>
        <v>0</v>
      </c>
      <c r="C71" s="5">
        <f>90.59</f>
        <v>90.59</v>
      </c>
      <c r="D71" s="5">
        <f>0</f>
        <v>0</v>
      </c>
      <c r="E71" s="5">
        <f>118.67</f>
        <v>118.67</v>
      </c>
      <c r="F71" s="5">
        <f>0</f>
        <v>0</v>
      </c>
      <c r="G71" s="5">
        <f>137.2</f>
        <v>137.19999999999999</v>
      </c>
      <c r="H71" s="5">
        <f>0</f>
        <v>0</v>
      </c>
      <c r="I71" s="5">
        <f>89.8</f>
        <v>89.8</v>
      </c>
      <c r="J71" s="5">
        <f>0</f>
        <v>0</v>
      </c>
      <c r="K71" s="5">
        <f>82.62</f>
        <v>82.62</v>
      </c>
      <c r="L71" s="5">
        <f>0</f>
        <v>0</v>
      </c>
      <c r="M71" s="5">
        <f t="shared" si="11"/>
        <v>518.88</v>
      </c>
      <c r="N71" s="19">
        <v>650</v>
      </c>
    </row>
    <row r="72" spans="1:14" x14ac:dyDescent="0.25">
      <c r="A72" s="3" t="s">
        <v>77</v>
      </c>
      <c r="B72" s="6">
        <f t="shared" ref="B72:L72" si="14">(((B68)+(B69))+(B70))+(B71)</f>
        <v>1195.3800000000001</v>
      </c>
      <c r="C72" s="6">
        <f t="shared" si="14"/>
        <v>242.15</v>
      </c>
      <c r="D72" s="6">
        <f t="shared" si="14"/>
        <v>2178.5100000000002</v>
      </c>
      <c r="E72" s="6">
        <f t="shared" si="14"/>
        <v>1142.32</v>
      </c>
      <c r="F72" s="6">
        <f t="shared" si="14"/>
        <v>756.31</v>
      </c>
      <c r="G72" s="6">
        <f t="shared" si="14"/>
        <v>610.53</v>
      </c>
      <c r="H72" s="6">
        <f t="shared" si="14"/>
        <v>361</v>
      </c>
      <c r="I72" s="6">
        <f t="shared" si="14"/>
        <v>442.64000000000004</v>
      </c>
      <c r="J72" s="6">
        <f t="shared" si="14"/>
        <v>385.53999999999996</v>
      </c>
      <c r="K72" s="6">
        <f t="shared" si="14"/>
        <v>495.08000000000004</v>
      </c>
      <c r="L72" s="6">
        <f t="shared" si="14"/>
        <v>523.04999999999995</v>
      </c>
      <c r="M72" s="6">
        <f t="shared" si="11"/>
        <v>8332.51</v>
      </c>
      <c r="N72" s="20">
        <v>8450</v>
      </c>
    </row>
    <row r="73" spans="1:14" x14ac:dyDescent="0.25">
      <c r="A73" s="3" t="s">
        <v>78</v>
      </c>
      <c r="B73" s="5">
        <f>0</f>
        <v>0</v>
      </c>
      <c r="C73" s="5">
        <f>0</f>
        <v>0</v>
      </c>
      <c r="D73" s="5">
        <f>0</f>
        <v>0</v>
      </c>
      <c r="E73" s="5">
        <f>0</f>
        <v>0</v>
      </c>
      <c r="F73" s="5">
        <f>0</f>
        <v>0</v>
      </c>
      <c r="G73" s="5">
        <f>0</f>
        <v>0</v>
      </c>
      <c r="H73" s="5">
        <f>0</f>
        <v>0</v>
      </c>
      <c r="I73" s="5">
        <f>0</f>
        <v>0</v>
      </c>
      <c r="J73" s="5">
        <f>0</f>
        <v>0</v>
      </c>
      <c r="K73" s="5">
        <f>0</f>
        <v>0</v>
      </c>
      <c r="L73" s="5">
        <f>0</f>
        <v>0</v>
      </c>
      <c r="M73" s="5">
        <f t="shared" si="11"/>
        <v>0</v>
      </c>
      <c r="N73" s="23"/>
    </row>
    <row r="74" spans="1:14" x14ac:dyDescent="0.25">
      <c r="A74" s="3" t="s">
        <v>79</v>
      </c>
      <c r="B74" s="5">
        <f>0</f>
        <v>0</v>
      </c>
      <c r="C74" s="5">
        <f>0</f>
        <v>0</v>
      </c>
      <c r="D74" s="5">
        <f>0</f>
        <v>0</v>
      </c>
      <c r="E74" s="5">
        <f>0</f>
        <v>0</v>
      </c>
      <c r="F74" s="5">
        <f>134.96</f>
        <v>134.96</v>
      </c>
      <c r="G74" s="5">
        <f>0</f>
        <v>0</v>
      </c>
      <c r="H74" s="5">
        <f>0</f>
        <v>0</v>
      </c>
      <c r="I74" s="5">
        <f>0</f>
        <v>0</v>
      </c>
      <c r="J74" s="5">
        <f>0</f>
        <v>0</v>
      </c>
      <c r="K74" s="5">
        <f>0</f>
        <v>0</v>
      </c>
      <c r="L74" s="5">
        <f>0</f>
        <v>0</v>
      </c>
      <c r="M74" s="5">
        <f t="shared" si="11"/>
        <v>134.96</v>
      </c>
      <c r="N74" s="13"/>
    </row>
    <row r="75" spans="1:14" x14ac:dyDescent="0.25">
      <c r="A75" s="3" t="s">
        <v>80</v>
      </c>
      <c r="B75" s="5">
        <f>0</f>
        <v>0</v>
      </c>
      <c r="C75" s="5">
        <f>0</f>
        <v>0</v>
      </c>
      <c r="D75" s="5">
        <f>236.83</f>
        <v>236.83</v>
      </c>
      <c r="E75" s="5">
        <f>236.82</f>
        <v>236.82</v>
      </c>
      <c r="F75" s="5">
        <f>0</f>
        <v>0</v>
      </c>
      <c r="G75" s="5">
        <f>0</f>
        <v>0</v>
      </c>
      <c r="H75" s="5">
        <f>0</f>
        <v>0</v>
      </c>
      <c r="I75" s="5">
        <f>0</f>
        <v>0</v>
      </c>
      <c r="J75" s="5">
        <f>0</f>
        <v>0</v>
      </c>
      <c r="K75" s="5">
        <f>0</f>
        <v>0</v>
      </c>
      <c r="L75" s="5">
        <f>0</f>
        <v>0</v>
      </c>
      <c r="M75" s="5">
        <f t="shared" si="11"/>
        <v>473.65</v>
      </c>
      <c r="N75" s="13">
        <v>3190</v>
      </c>
    </row>
    <row r="76" spans="1:14" x14ac:dyDescent="0.25">
      <c r="A76" s="3" t="s">
        <v>81</v>
      </c>
      <c r="B76" s="5">
        <f>49.94</f>
        <v>49.94</v>
      </c>
      <c r="C76" s="5">
        <f>109.99</f>
        <v>109.99</v>
      </c>
      <c r="D76" s="5">
        <f>103.8</f>
        <v>103.8</v>
      </c>
      <c r="E76" s="5">
        <f>62.91</f>
        <v>62.91</v>
      </c>
      <c r="F76" s="5">
        <f>51.97</f>
        <v>51.97</v>
      </c>
      <c r="G76" s="5">
        <f>607.13</f>
        <v>607.13</v>
      </c>
      <c r="H76" s="5">
        <f>0</f>
        <v>0</v>
      </c>
      <c r="I76" s="5">
        <f>533.4</f>
        <v>533.4</v>
      </c>
      <c r="J76" s="5">
        <f>71.05</f>
        <v>71.05</v>
      </c>
      <c r="K76" s="5">
        <f>0</f>
        <v>0</v>
      </c>
      <c r="L76" s="5">
        <f>105.36</f>
        <v>105.36</v>
      </c>
      <c r="M76" s="5">
        <f t="shared" si="11"/>
        <v>1695.5499999999997</v>
      </c>
      <c r="N76" s="13">
        <v>2500</v>
      </c>
    </row>
    <row r="77" spans="1:14" x14ac:dyDescent="0.25">
      <c r="A77" s="3" t="s">
        <v>82</v>
      </c>
      <c r="B77" s="6">
        <f t="shared" ref="B77:L77" si="15">(((B73)+(B74))+(B75))+(B76)</f>
        <v>49.94</v>
      </c>
      <c r="C77" s="6">
        <f t="shared" si="15"/>
        <v>109.99</v>
      </c>
      <c r="D77" s="6">
        <f t="shared" si="15"/>
        <v>340.63</v>
      </c>
      <c r="E77" s="6">
        <f t="shared" si="15"/>
        <v>299.73</v>
      </c>
      <c r="F77" s="6">
        <f t="shared" si="15"/>
        <v>186.93</v>
      </c>
      <c r="G77" s="6">
        <f t="shared" si="15"/>
        <v>607.13</v>
      </c>
      <c r="H77" s="6">
        <f t="shared" si="15"/>
        <v>0</v>
      </c>
      <c r="I77" s="6">
        <f t="shared" si="15"/>
        <v>533.4</v>
      </c>
      <c r="J77" s="6">
        <f t="shared" si="15"/>
        <v>71.05</v>
      </c>
      <c r="K77" s="6">
        <f t="shared" si="15"/>
        <v>0</v>
      </c>
      <c r="L77" s="6">
        <f t="shared" si="15"/>
        <v>105.36</v>
      </c>
      <c r="M77" s="6">
        <f t="shared" si="11"/>
        <v>2304.1600000000003</v>
      </c>
      <c r="N77" s="24">
        <v>5690</v>
      </c>
    </row>
    <row r="78" spans="1:14" x14ac:dyDescent="0.25">
      <c r="A78" s="3" t="s">
        <v>83</v>
      </c>
      <c r="B78" s="6">
        <f t="shared" ref="B78:L78" si="16">((((((((((((((((B29)+(B32))+(B33))+(B39))+(B40))+(B41))+(B42))+(B46))+(B47))+(B48))+(B54))+(B57))+(B63))+(B64))+(B67))+(B72))+(B77)</f>
        <v>7650.6699999999992</v>
      </c>
      <c r="C78" s="6">
        <f t="shared" si="16"/>
        <v>5666.6299999999992</v>
      </c>
      <c r="D78" s="6">
        <f t="shared" si="16"/>
        <v>8921.369999999999</v>
      </c>
      <c r="E78" s="6">
        <f t="shared" si="16"/>
        <v>8521.8499999999985</v>
      </c>
      <c r="F78" s="6">
        <f t="shared" si="16"/>
        <v>15177.06</v>
      </c>
      <c r="G78" s="6">
        <f t="shared" si="16"/>
        <v>13751.13</v>
      </c>
      <c r="H78" s="6">
        <f t="shared" si="16"/>
        <v>7962.29</v>
      </c>
      <c r="I78" s="6">
        <f t="shared" si="16"/>
        <v>51752.130000000005</v>
      </c>
      <c r="J78" s="6">
        <f t="shared" si="16"/>
        <v>8291.9</v>
      </c>
      <c r="K78" s="6">
        <f t="shared" si="16"/>
        <v>8526.82</v>
      </c>
      <c r="L78" s="6">
        <f t="shared" si="16"/>
        <v>7746.35</v>
      </c>
      <c r="M78" s="6">
        <f t="shared" si="11"/>
        <v>143968.19999999998</v>
      </c>
      <c r="N78" s="24">
        <v>174935.2</v>
      </c>
    </row>
    <row r="79" spans="1:14" x14ac:dyDescent="0.25">
      <c r="A79" s="3" t="s">
        <v>84</v>
      </c>
      <c r="B79" s="6">
        <f t="shared" ref="B79:L79" si="17">(B27)-(B78)</f>
        <v>-3979.9499999999989</v>
      </c>
      <c r="C79" s="6">
        <f t="shared" si="17"/>
        <v>1107.8700000000008</v>
      </c>
      <c r="D79" s="6">
        <f t="shared" si="17"/>
        <v>13912.43</v>
      </c>
      <c r="E79" s="6">
        <f t="shared" si="17"/>
        <v>2485.4600000000009</v>
      </c>
      <c r="F79" s="6">
        <f t="shared" si="17"/>
        <v>-8279.8299999999981</v>
      </c>
      <c r="G79" s="6">
        <f t="shared" si="17"/>
        <v>-6389.9399999999987</v>
      </c>
      <c r="H79" s="6">
        <f t="shared" si="17"/>
        <v>-2002.0599999999995</v>
      </c>
      <c r="I79" s="6">
        <f t="shared" si="17"/>
        <v>-42740.69</v>
      </c>
      <c r="J79" s="6">
        <f t="shared" si="17"/>
        <v>831.64999999999964</v>
      </c>
      <c r="K79" s="6">
        <f t="shared" si="17"/>
        <v>7392.6899999999987</v>
      </c>
      <c r="L79" s="6">
        <f t="shared" si="17"/>
        <v>-3674.9700000000003</v>
      </c>
      <c r="M79" s="6">
        <f t="shared" si="11"/>
        <v>-41337.339999999997</v>
      </c>
      <c r="N79" s="20">
        <v>-74153.2</v>
      </c>
    </row>
    <row r="80" spans="1:14" x14ac:dyDescent="0.25">
      <c r="A80" s="3" t="s">
        <v>85</v>
      </c>
      <c r="B80" s="7">
        <f t="shared" ref="B80:L80" si="18">(B79)+(0)</f>
        <v>-3979.9499999999989</v>
      </c>
      <c r="C80" s="7">
        <f t="shared" si="18"/>
        <v>1107.8700000000008</v>
      </c>
      <c r="D80" s="7">
        <f t="shared" si="18"/>
        <v>13912.43</v>
      </c>
      <c r="E80" s="7">
        <f t="shared" si="18"/>
        <v>2485.4600000000009</v>
      </c>
      <c r="F80" s="7">
        <f t="shared" si="18"/>
        <v>-8279.8299999999981</v>
      </c>
      <c r="G80" s="7">
        <f t="shared" si="18"/>
        <v>-6389.9399999999987</v>
      </c>
      <c r="H80" s="7">
        <f t="shared" si="18"/>
        <v>-2002.0599999999995</v>
      </c>
      <c r="I80" s="7">
        <f t="shared" si="18"/>
        <v>-42740.69</v>
      </c>
      <c r="J80" s="7">
        <f t="shared" si="18"/>
        <v>831.64999999999964</v>
      </c>
      <c r="K80" s="7">
        <f t="shared" si="18"/>
        <v>7392.6899999999987</v>
      </c>
      <c r="L80" s="7">
        <f t="shared" si="18"/>
        <v>-3674.9700000000003</v>
      </c>
      <c r="M80" s="7">
        <f t="shared" si="11"/>
        <v>-41337.339999999997</v>
      </c>
      <c r="N80" s="20">
        <v>-74153.2</v>
      </c>
    </row>
    <row r="81" spans="1:13" x14ac:dyDescent="0.25">
      <c r="A81" s="3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</row>
    <row r="84" spans="1:13" x14ac:dyDescent="0.25">
      <c r="A84" s="8" t="s">
        <v>86</v>
      </c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</row>
  </sheetData>
  <mergeCells count="4">
    <mergeCell ref="A84:M84"/>
    <mergeCell ref="A1:M1"/>
    <mergeCell ref="A2:M2"/>
    <mergeCell ref="A3:M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Statement of Activity by Month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fwalls</cp:lastModifiedBy>
  <dcterms:created xsi:type="dcterms:W3CDTF">2022-12-19T22:05:09Z</dcterms:created>
  <dcterms:modified xsi:type="dcterms:W3CDTF">2022-12-19T22:11:35Z</dcterms:modified>
</cp:coreProperties>
</file>