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0\lvideo\exp\"/>
    </mc:Choice>
  </mc:AlternateContent>
  <xr:revisionPtr revIDLastSave="0" documentId="8_{650C645B-FFA7-4757-82B1-486C5A881E4C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Statement of Activity by Mont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" i="1" l="1"/>
  <c r="I78" i="1" l="1"/>
  <c r="H78" i="1"/>
  <c r="G78" i="1"/>
  <c r="F78" i="1"/>
  <c r="F79" i="1" s="1"/>
  <c r="E78" i="1"/>
  <c r="D78" i="1"/>
  <c r="C78" i="1"/>
  <c r="C79" i="1" s="1"/>
  <c r="B78" i="1"/>
  <c r="I77" i="1"/>
  <c r="E77" i="1"/>
  <c r="D77" i="1"/>
  <c r="J77" i="1" s="1"/>
  <c r="I76" i="1"/>
  <c r="I79" i="1" s="1"/>
  <c r="H76" i="1"/>
  <c r="G76" i="1"/>
  <c r="G79" i="1" s="1"/>
  <c r="D76" i="1"/>
  <c r="D79" i="1" s="1"/>
  <c r="E75" i="1"/>
  <c r="E79" i="1" s="1"/>
  <c r="B75" i="1"/>
  <c r="J74" i="1"/>
  <c r="D73" i="1"/>
  <c r="H72" i="1"/>
  <c r="F72" i="1"/>
  <c r="E72" i="1"/>
  <c r="C72" i="1"/>
  <c r="I71" i="1"/>
  <c r="H71" i="1"/>
  <c r="G71" i="1"/>
  <c r="F71" i="1"/>
  <c r="E71" i="1"/>
  <c r="D71" i="1"/>
  <c r="C71" i="1"/>
  <c r="B71" i="1"/>
  <c r="I70" i="1"/>
  <c r="I73" i="1" s="1"/>
  <c r="H70" i="1"/>
  <c r="G70" i="1"/>
  <c r="G73" i="1" s="1"/>
  <c r="F70" i="1"/>
  <c r="E70" i="1"/>
  <c r="D70" i="1"/>
  <c r="C70" i="1"/>
  <c r="C73" i="1" s="1"/>
  <c r="B70" i="1"/>
  <c r="B73" i="1" s="1"/>
  <c r="J69" i="1"/>
  <c r="G68" i="1"/>
  <c r="I67" i="1"/>
  <c r="I68" i="1" s="1"/>
  <c r="H67" i="1"/>
  <c r="H68" i="1" s="1"/>
  <c r="F67" i="1"/>
  <c r="F68" i="1" s="1"/>
  <c r="E67" i="1"/>
  <c r="E68" i="1" s="1"/>
  <c r="D67" i="1"/>
  <c r="D68" i="1" s="1"/>
  <c r="C67" i="1"/>
  <c r="C68" i="1" s="1"/>
  <c r="B67" i="1"/>
  <c r="B68" i="1" s="1"/>
  <c r="J66" i="1"/>
  <c r="F65" i="1"/>
  <c r="J65" i="1" s="1"/>
  <c r="I63" i="1"/>
  <c r="I64" i="1" s="1"/>
  <c r="H63" i="1"/>
  <c r="G63" i="1"/>
  <c r="C63" i="1"/>
  <c r="I62" i="1"/>
  <c r="G62" i="1"/>
  <c r="F62" i="1"/>
  <c r="E62" i="1"/>
  <c r="D62" i="1"/>
  <c r="C62" i="1"/>
  <c r="B62" i="1"/>
  <c r="I61" i="1"/>
  <c r="G61" i="1"/>
  <c r="G64" i="1" s="1"/>
  <c r="F61" i="1"/>
  <c r="F64" i="1" s="1"/>
  <c r="E61" i="1"/>
  <c r="D61" i="1"/>
  <c r="D64" i="1" s="1"/>
  <c r="C61" i="1"/>
  <c r="B61" i="1"/>
  <c r="J60" i="1"/>
  <c r="I59" i="1"/>
  <c r="H59" i="1"/>
  <c r="G59" i="1"/>
  <c r="F59" i="1"/>
  <c r="E59" i="1"/>
  <c r="C59" i="1"/>
  <c r="B59" i="1"/>
  <c r="J59" i="1" s="1"/>
  <c r="J58" i="1"/>
  <c r="D58" i="1"/>
  <c r="D59" i="1" s="1"/>
  <c r="J57" i="1"/>
  <c r="I55" i="1"/>
  <c r="H55" i="1"/>
  <c r="G55" i="1"/>
  <c r="F55" i="1"/>
  <c r="E55" i="1"/>
  <c r="D55" i="1"/>
  <c r="C55" i="1"/>
  <c r="C56" i="1" s="1"/>
  <c r="B55" i="1"/>
  <c r="I54" i="1"/>
  <c r="H54" i="1"/>
  <c r="G54" i="1"/>
  <c r="F54" i="1"/>
  <c r="E54" i="1"/>
  <c r="B54" i="1"/>
  <c r="I53" i="1"/>
  <c r="H53" i="1"/>
  <c r="G53" i="1"/>
  <c r="F53" i="1"/>
  <c r="E53" i="1"/>
  <c r="D53" i="1"/>
  <c r="C53" i="1"/>
  <c r="B53" i="1"/>
  <c r="B52" i="1"/>
  <c r="J52" i="1" s="1"/>
  <c r="I51" i="1"/>
  <c r="H51" i="1"/>
  <c r="G51" i="1"/>
  <c r="G56" i="1" s="1"/>
  <c r="F51" i="1"/>
  <c r="E51" i="1"/>
  <c r="D51" i="1"/>
  <c r="C51" i="1"/>
  <c r="B51" i="1"/>
  <c r="B56" i="1" s="1"/>
  <c r="J50" i="1"/>
  <c r="F50" i="1"/>
  <c r="H49" i="1"/>
  <c r="F49" i="1"/>
  <c r="E49" i="1"/>
  <c r="D49" i="1"/>
  <c r="B48" i="1"/>
  <c r="J48" i="1" s="1"/>
  <c r="I47" i="1"/>
  <c r="I49" i="1" s="1"/>
  <c r="G47" i="1"/>
  <c r="G49" i="1" s="1"/>
  <c r="C47" i="1"/>
  <c r="C49" i="1" s="1"/>
  <c r="B47" i="1"/>
  <c r="B49" i="1" s="1"/>
  <c r="J46" i="1"/>
  <c r="G46" i="1"/>
  <c r="I45" i="1"/>
  <c r="H45" i="1"/>
  <c r="G45" i="1"/>
  <c r="F45" i="1"/>
  <c r="E45" i="1"/>
  <c r="D45" i="1"/>
  <c r="C45" i="1"/>
  <c r="B45" i="1"/>
  <c r="I44" i="1"/>
  <c r="H44" i="1"/>
  <c r="G44" i="1"/>
  <c r="E44" i="1"/>
  <c r="D44" i="1"/>
  <c r="C44" i="1"/>
  <c r="F43" i="1"/>
  <c r="B43" i="1"/>
  <c r="F42" i="1"/>
  <c r="B42" i="1"/>
  <c r="J42" i="1" s="1"/>
  <c r="J41" i="1"/>
  <c r="H40" i="1"/>
  <c r="G40" i="1"/>
  <c r="J40" i="1" s="1"/>
  <c r="H39" i="1"/>
  <c r="F39" i="1"/>
  <c r="J39" i="1" s="1"/>
  <c r="E39" i="1"/>
  <c r="C39" i="1"/>
  <c r="J38" i="1"/>
  <c r="G38" i="1"/>
  <c r="I37" i="1"/>
  <c r="C37" i="1"/>
  <c r="H36" i="1"/>
  <c r="H37" i="1" s="1"/>
  <c r="E36" i="1"/>
  <c r="B36" i="1"/>
  <c r="E35" i="1"/>
  <c r="J35" i="1" s="1"/>
  <c r="D35" i="1"/>
  <c r="D37" i="1" s="1"/>
  <c r="G34" i="1"/>
  <c r="G37" i="1" s="1"/>
  <c r="F34" i="1"/>
  <c r="F37" i="1" s="1"/>
  <c r="E34" i="1"/>
  <c r="E37" i="1" s="1"/>
  <c r="B33" i="1"/>
  <c r="J33" i="1" s="1"/>
  <c r="J32" i="1"/>
  <c r="E31" i="1"/>
  <c r="D31" i="1"/>
  <c r="C31" i="1"/>
  <c r="G30" i="1"/>
  <c r="B30" i="1"/>
  <c r="H29" i="1"/>
  <c r="B29" i="1"/>
  <c r="J29" i="1" s="1"/>
  <c r="J28" i="1"/>
  <c r="B28" i="1"/>
  <c r="I27" i="1"/>
  <c r="I30" i="1" s="1"/>
  <c r="H27" i="1"/>
  <c r="H30" i="1" s="1"/>
  <c r="G27" i="1"/>
  <c r="F27" i="1"/>
  <c r="F30" i="1" s="1"/>
  <c r="E27" i="1"/>
  <c r="E30" i="1" s="1"/>
  <c r="D27" i="1"/>
  <c r="D30" i="1" s="1"/>
  <c r="C27" i="1"/>
  <c r="C30" i="1" s="1"/>
  <c r="B27" i="1"/>
  <c r="G26" i="1"/>
  <c r="F26" i="1"/>
  <c r="D26" i="1"/>
  <c r="C26" i="1"/>
  <c r="B26" i="1"/>
  <c r="H21" i="1"/>
  <c r="G21" i="1"/>
  <c r="J21" i="1" s="1"/>
  <c r="G20" i="1"/>
  <c r="J20" i="1" s="1"/>
  <c r="D19" i="1"/>
  <c r="I18" i="1"/>
  <c r="H18" i="1"/>
  <c r="G18" i="1"/>
  <c r="F18" i="1"/>
  <c r="E18" i="1"/>
  <c r="D18" i="1"/>
  <c r="C18" i="1"/>
  <c r="B18" i="1"/>
  <c r="J18" i="1" s="1"/>
  <c r="I17" i="1"/>
  <c r="I19" i="1" s="1"/>
  <c r="H17" i="1"/>
  <c r="H19" i="1" s="1"/>
  <c r="G17" i="1"/>
  <c r="G19" i="1" s="1"/>
  <c r="F17" i="1"/>
  <c r="F19" i="1" s="1"/>
  <c r="E17" i="1"/>
  <c r="E19" i="1" s="1"/>
  <c r="D17" i="1"/>
  <c r="C17" i="1"/>
  <c r="C19" i="1" s="1"/>
  <c r="B17" i="1"/>
  <c r="J17" i="1" s="1"/>
  <c r="J16" i="1"/>
  <c r="H15" i="1"/>
  <c r="E15" i="1"/>
  <c r="J15" i="1" s="1"/>
  <c r="J14" i="1"/>
  <c r="H14" i="1"/>
  <c r="J13" i="1"/>
  <c r="I13" i="1"/>
  <c r="I12" i="1"/>
  <c r="H12" i="1"/>
  <c r="G12" i="1"/>
  <c r="F12" i="1"/>
  <c r="E12" i="1"/>
  <c r="D12" i="1"/>
  <c r="C12" i="1"/>
  <c r="B12" i="1"/>
  <c r="I11" i="1"/>
  <c r="E11" i="1"/>
  <c r="D11" i="1"/>
  <c r="C11" i="1"/>
  <c r="J10" i="1"/>
  <c r="D10" i="1"/>
  <c r="J9" i="1"/>
  <c r="B9" i="1"/>
  <c r="D8" i="1"/>
  <c r="D22" i="1" s="1"/>
  <c r="D23" i="1" s="1"/>
  <c r="D24" i="1" s="1"/>
  <c r="C8" i="1"/>
  <c r="J7" i="1"/>
  <c r="J11" i="1" l="1"/>
  <c r="G22" i="1"/>
  <c r="G23" i="1" s="1"/>
  <c r="G24" i="1" s="1"/>
  <c r="G81" i="1" s="1"/>
  <c r="G82" i="1" s="1"/>
  <c r="J36" i="1"/>
  <c r="F44" i="1"/>
  <c r="J53" i="1"/>
  <c r="J54" i="1"/>
  <c r="F73" i="1"/>
  <c r="J8" i="1"/>
  <c r="E22" i="1"/>
  <c r="E23" i="1" s="1"/>
  <c r="E24" i="1" s="1"/>
  <c r="H22" i="1"/>
  <c r="H23" i="1" s="1"/>
  <c r="H24" i="1" s="1"/>
  <c r="I22" i="1"/>
  <c r="I23" i="1" s="1"/>
  <c r="I24" i="1" s="1"/>
  <c r="J26" i="1"/>
  <c r="J43" i="1"/>
  <c r="J45" i="1"/>
  <c r="D56" i="1"/>
  <c r="D80" i="1" s="1"/>
  <c r="D81" i="1" s="1"/>
  <c r="D82" i="1" s="1"/>
  <c r="E56" i="1"/>
  <c r="E80" i="1" s="1"/>
  <c r="E81" i="1" s="1"/>
  <c r="E82" i="1" s="1"/>
  <c r="J62" i="1"/>
  <c r="H73" i="1"/>
  <c r="J73" i="1" s="1"/>
  <c r="B79" i="1"/>
  <c r="J79" i="1" s="1"/>
  <c r="J61" i="1"/>
  <c r="J12" i="1"/>
  <c r="C22" i="1"/>
  <c r="C23" i="1" s="1"/>
  <c r="C24" i="1" s="1"/>
  <c r="C81" i="1" s="1"/>
  <c r="C82" i="1" s="1"/>
  <c r="J47" i="1"/>
  <c r="C64" i="1"/>
  <c r="H64" i="1"/>
  <c r="J70" i="1"/>
  <c r="J71" i="1"/>
  <c r="J72" i="1"/>
  <c r="J78" i="1"/>
  <c r="C80" i="1"/>
  <c r="G80" i="1"/>
  <c r="F56" i="1"/>
  <c r="H56" i="1"/>
  <c r="E64" i="1"/>
  <c r="J27" i="1"/>
  <c r="J31" i="1"/>
  <c r="I56" i="1"/>
  <c r="I80" i="1" s="1"/>
  <c r="I81" i="1" s="1"/>
  <c r="I82" i="1" s="1"/>
  <c r="J55" i="1"/>
  <c r="E73" i="1"/>
  <c r="H79" i="1"/>
  <c r="F22" i="1"/>
  <c r="F23" i="1" s="1"/>
  <c r="F24" i="1" s="1"/>
  <c r="J49" i="1"/>
  <c r="J68" i="1"/>
  <c r="F80" i="1"/>
  <c r="H80" i="1"/>
  <c r="H81" i="1" s="1"/>
  <c r="H82" i="1" s="1"/>
  <c r="J63" i="1"/>
  <c r="B19" i="1"/>
  <c r="J19" i="1" s="1"/>
  <c r="J34" i="1"/>
  <c r="B37" i="1"/>
  <c r="J37" i="1" s="1"/>
  <c r="J51" i="1"/>
  <c r="B64" i="1"/>
  <c r="J75" i="1"/>
  <c r="J30" i="1"/>
  <c r="B44" i="1"/>
  <c r="J44" i="1" s="1"/>
  <c r="J67" i="1"/>
  <c r="J76" i="1"/>
  <c r="J64" i="1" l="1"/>
  <c r="B22" i="1"/>
  <c r="J56" i="1"/>
  <c r="J22" i="1"/>
  <c r="B23" i="1"/>
  <c r="F81" i="1"/>
  <c r="F82" i="1" s="1"/>
  <c r="B80" i="1"/>
  <c r="J80" i="1" s="1"/>
  <c r="J23" i="1" l="1"/>
  <c r="B24" i="1"/>
  <c r="B81" i="1" l="1"/>
  <c r="J24" i="1"/>
  <c r="J81" i="1" l="1"/>
  <c r="B82" i="1"/>
  <c r="J82" i="1" s="1"/>
</calcChain>
</file>

<file path=xl/sharedStrings.xml><?xml version="1.0" encoding="utf-8"?>
<sst xmlns="http://schemas.openxmlformats.org/spreadsheetml/2006/main" count="94" uniqueCount="92">
  <si>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</si>
  <si>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</si>
  <si>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</si>
  <si>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</si>
  <si>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</si>
  <si>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</si>
  <si>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</si>
  <si>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</si>
  <si>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Total</t>
  </si>
  <si>
    <t>Revenue</t>
  </si>
  <si>
    <t xml:space="preserve">   Non-Profit Income</t>
  </si>
  <si>
    <t xml:space="preserve">      Building-related Funds Raised</t>
  </si>
  <si>
    <t xml:space="preserve">      Donation of Expense Items</t>
  </si>
  <si>
    <t xml:space="preserve">      Flower Offerings</t>
  </si>
  <si>
    <t xml:space="preserve">      Grants</t>
  </si>
  <si>
    <t xml:space="preserve">      Interest Income</t>
  </si>
  <si>
    <t xml:space="preserve">      Lutheran Disaster Relief</t>
  </si>
  <si>
    <t xml:space="preserve">      Lutheran World Relief</t>
  </si>
  <si>
    <t xml:space="preserve">      Memorials Money Received</t>
  </si>
  <si>
    <t xml:space="preserve">      Offerings - Main Account</t>
  </si>
  <si>
    <t xml:space="preserve">         Offerings Online Giving v1.00</t>
  </si>
  <si>
    <t xml:space="preserve">         Offerings Plate v1.00</t>
  </si>
  <si>
    <t xml:space="preserve">      Total Offerings - Main Account</t>
  </si>
  <si>
    <t xml:space="preserve">      Reimbursements from Living Hope</t>
  </si>
  <si>
    <t xml:space="preserve">      Rummage sale</t>
  </si>
  <si>
    <t xml:space="preserve">   Total Non-Profit Income</t>
  </si>
  <si>
    <t>Total Revenue</t>
  </si>
  <si>
    <t>Gross Profit</t>
  </si>
  <si>
    <t>Expenditures</t>
  </si>
  <si>
    <t xml:space="preserve">   Advertising &amp; Marketing</t>
  </si>
  <si>
    <t xml:space="preserve">   BENEVOLENCE</t>
  </si>
  <si>
    <t xml:space="preserve">      ELCA World Hunger</t>
  </si>
  <si>
    <t xml:space="preserve">   Total BENEVOLENCE</t>
  </si>
  <si>
    <t xml:space="preserve">   BUILDING EXPENSES</t>
  </si>
  <si>
    <t xml:space="preserve">   BUILDING SERVICES</t>
  </si>
  <si>
    <t xml:space="preserve">      Fire Alarm Monitoring</t>
  </si>
  <si>
    <t xml:space="preserve">      Lawn mowing &amp; related expenses</t>
  </si>
  <si>
    <t xml:space="preserve">      Snow removal &amp; custodial</t>
  </si>
  <si>
    <t xml:space="preserve">      Trash</t>
  </si>
  <si>
    <t xml:space="preserve">   Total BUILDING SERVICES</t>
  </si>
  <si>
    <t xml:space="preserve">   CAPITAL IMPROVEMENT</t>
  </si>
  <si>
    <t xml:space="preserve">   Conferences &amp; continuing ed</t>
  </si>
  <si>
    <t xml:space="preserve">   EVANGELISM AND OUTREACH</t>
  </si>
  <si>
    <t xml:space="preserve">   Insurance</t>
  </si>
  <si>
    <t xml:space="preserve">      Insurance</t>
  </si>
  <si>
    <t xml:space="preserve">      Workers' compensation</t>
  </si>
  <si>
    <t xml:space="preserve">   Total Insurance</t>
  </si>
  <si>
    <t xml:space="preserve">   Interest Paid</t>
  </si>
  <si>
    <t xml:space="preserve">   LIGHTHOUSE YOUTH MINISTRY</t>
  </si>
  <si>
    <t xml:space="preserve">   MISCELLANEOUS</t>
  </si>
  <si>
    <t xml:space="preserve">      Stone Soup expenses</t>
  </si>
  <si>
    <t xml:space="preserve">   Total MISCELLANEOUS</t>
  </si>
  <si>
    <t xml:space="preserve">   OFFICE</t>
  </si>
  <si>
    <t xml:space="preserve">      Accounting</t>
  </si>
  <si>
    <t xml:space="preserve">      Church Mgmt Software</t>
  </si>
  <si>
    <t xml:space="preserve">      Copier rental &amp; ink</t>
  </si>
  <si>
    <t xml:space="preserve">      Office supplies</t>
  </si>
  <si>
    <t xml:space="preserve">      Secretarial services</t>
  </si>
  <si>
    <t xml:space="preserve">   Total OFFICE</t>
  </si>
  <si>
    <t xml:space="preserve">   PARISH EDUCATION</t>
  </si>
  <si>
    <t xml:space="preserve">      Confirmation</t>
  </si>
  <si>
    <t xml:space="preserve">   Total PARISH EDUCATION</t>
  </si>
  <si>
    <t xml:space="preserve">   PASTORAL SUPPORT</t>
  </si>
  <si>
    <t xml:space="preserve">      Pastor benefits</t>
  </si>
  <si>
    <t xml:space="preserve">      Pastor salary + taxes</t>
  </si>
  <si>
    <t xml:space="preserve">      Supply Pastor</t>
  </si>
  <si>
    <t xml:space="preserve">   Total PASTORAL SUPPORT</t>
  </si>
  <si>
    <t xml:space="preserve">   Taxes &amp; Licenses</t>
  </si>
  <si>
    <t xml:space="preserve">   Travel</t>
  </si>
  <si>
    <t xml:space="preserve">      Mileage</t>
  </si>
  <si>
    <t xml:space="preserve">   Total Travel</t>
  </si>
  <si>
    <t xml:space="preserve">   Utilities</t>
  </si>
  <si>
    <t xml:space="preserve">      Gas and electric</t>
  </si>
  <si>
    <t xml:space="preserve">      Phone/internet</t>
  </si>
  <si>
    <t xml:space="preserve">      Water &amp; sewer</t>
  </si>
  <si>
    <t xml:space="preserve">   Total Utilities</t>
  </si>
  <si>
    <t xml:space="preserve">   Worship &amp; Music (restored)</t>
  </si>
  <si>
    <t xml:space="preserve">      Flowers</t>
  </si>
  <si>
    <t xml:space="preserve">      Music licensing fees</t>
  </si>
  <si>
    <t xml:space="preserve">      Organist</t>
  </si>
  <si>
    <t xml:space="preserve">      Worship supplies</t>
  </si>
  <si>
    <t xml:space="preserve">   Total Worship &amp; Music (restored)</t>
  </si>
  <si>
    <t>Total Expenditures</t>
  </si>
  <si>
    <t>Net Operating Revenue</t>
  </si>
  <si>
    <t>Net Revenue</t>
  </si>
  <si>
    <t>Tuesday, Sep 19, 2023 04:50:16 PM GMT-7 - Cash Basis</t>
  </si>
  <si>
    <t>Christ the King Lutheran Church</t>
  </si>
  <si>
    <t>Statement of Activity by Month</t>
  </si>
  <si>
    <t>January - August, 2023</t>
  </si>
  <si>
    <t>2023 budget</t>
  </si>
  <si>
    <t>incl below</t>
  </si>
  <si>
    <t>should get ~$260 back - payment mixup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</si>
</sst>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#,##0.00\ _€"/>
    <numFmt numFmtId="165" formatCode="&quot;$&quot;* #,##0.00\ _€"/>
    <numFmt numFmtId="166" formatCode="&quot;$&quot;#,##0.00"/>
  </numFmts>
  <fonts count="13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9"/>
      <color theme="1"/>
      <name val="Calibri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/>
    <xf numFmtId="166" fontId="7" fillId="0" borderId="0" xfId="0" applyNumberFormat="1" applyFont="1"/>
    <xf numFmtId="44" fontId="8" fillId="0" borderId="3" xfId="0" applyNumberFormat="1" applyFont="1" applyBorder="1"/>
    <xf numFmtId="44" fontId="8" fillId="0" borderId="0" xfId="0" applyNumberFormat="1" applyFont="1"/>
    <xf numFmtId="44" fontId="9" fillId="0" borderId="0" xfId="0" applyNumberFormat="1" applyFont="1"/>
    <xf numFmtId="164" fontId="10" fillId="0" borderId="4" xfId="0" applyNumberFormat="1" applyFont="1" applyBorder="1" applyAlignment="1">
      <alignment horizontal="right" wrapText="1"/>
    </xf>
    <xf numFmtId="164" fontId="10" fillId="0" borderId="5" xfId="0" applyNumberFormat="1" applyFont="1" applyBorder="1" applyAlignment="1">
      <alignment wrapText="1"/>
    </xf>
    <xf numFmtId="166" fontId="11" fillId="0" borderId="3" xfId="0" applyNumberFormat="1" applyFont="1" applyBorder="1"/>
    <xf numFmtId="166" fontId="11" fillId="0" borderId="0" xfId="0" applyNumberFormat="1" applyFont="1"/>
    <xf numFmtId="164" fontId="12" fillId="0" borderId="0" xfId="0" applyNumberFormat="1" applyFont="1" applyAlignment="1">
      <alignment horizontal="right" wrapText="1"/>
    </xf>
    <xf numFmtId="164" fontId="10" fillId="0" borderId="0" xfId="0" applyNumberFormat="1" applyFont="1" applyAlignment="1">
      <alignment horizontal="right" wrapText="1"/>
    </xf>
    <xf numFmtId="164" fontId="12" fillId="0" borderId="1" xfId="0" applyNumberFormat="1" applyFont="1" applyBorder="1" applyAlignment="1">
      <alignment horizontal="right" wrapText="1"/>
    </xf>
    <xf numFmtId="166" fontId="11" fillId="0" borderId="6" xfId="0" applyNumberFormat="1" applyFont="1" applyBorder="1"/>
    <xf numFmtId="166" fontId="11" fillId="0" borderId="5" xfId="0" applyNumberFormat="1" applyFont="1" applyBorder="1"/>
    <xf numFmtId="166" fontId="11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9"/>
  <sheetViews>
    <sheetView tabSelected="1" workbookViewId="0">
      <selection activeCell="H63" sqref="H63"/>
    </sheetView>
  </sheetViews>
  <sheetFormatPr defaultRowHeight="15" x14ac:dyDescent="0.25"/>
  <cols>
    <col min="1" max="1" width="33.5703125" customWidth="1"/>
    <col min="2" max="2" width="10.28515625" customWidth="1"/>
    <col min="3" max="3" width="9.42578125" customWidth="1"/>
    <col min="4" max="5" width="10.28515625" customWidth="1"/>
    <col min="6" max="6" width="9.42578125" customWidth="1"/>
    <col min="7" max="7" width="10.28515625" customWidth="1"/>
    <col min="8" max="8" width="9.42578125" customWidth="1"/>
    <col min="9" max="9" width="8.5703125" customWidth="1"/>
    <col min="10" max="10" width="10.28515625" customWidth="1"/>
    <col min="11" max="11" width="12.28515625" customWidth="1"/>
  </cols>
  <sheetData>
    <row r="1" spans="1:11" ht="18" x14ac:dyDescent="0.25">
      <c r="A1" s="10" t="s">
        <v>86</v>
      </c>
      <c r="B1" s="9"/>
      <c r="C1" s="9"/>
      <c r="D1" s="9"/>
      <c r="E1" s="9"/>
      <c r="F1" s="9"/>
      <c r="G1" s="9"/>
      <c r="H1" s="9"/>
      <c r="I1" s="9"/>
      <c r="J1" s="9"/>
    </row>
    <row r="2" spans="1:11" ht="18" x14ac:dyDescent="0.25">
      <c r="A2" s="10" t="s">
        <v>87</v>
      </c>
      <c r="B2" s="9"/>
      <c r="C2" s="9"/>
      <c r="D2" s="9"/>
      <c r="E2" s="9"/>
      <c r="F2" s="9"/>
      <c r="G2" s="9"/>
      <c r="H2" s="9"/>
      <c r="I2" s="9"/>
      <c r="J2" s="9"/>
    </row>
    <row r="3" spans="1:11" x14ac:dyDescent="0.25">
      <c r="A3" s="11" t="s">
        <v>88</v>
      </c>
      <c r="B3" s="9"/>
      <c r="C3" s="9"/>
      <c r="D3" s="9"/>
      <c r="E3" s="9"/>
      <c r="F3" s="9"/>
      <c r="G3" s="9"/>
      <c r="H3" s="9"/>
      <c r="I3" s="9"/>
      <c r="J3" s="9"/>
    </row>
    <row r="5" spans="1:11" x14ac:dyDescent="0.25">
      <c r="A5" s="1"/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12" t="s">
        <v>89</v>
      </c>
    </row>
    <row r="6" spans="1:11" x14ac:dyDescent="0.25">
      <c r="A6" s="3" t="s">
        <v>9</v>
      </c>
      <c r="B6" s="4"/>
      <c r="C6" s="4"/>
      <c r="D6" s="4"/>
      <c r="E6" s="4"/>
      <c r="F6" s="4"/>
      <c r="G6" s="4"/>
      <c r="H6" s="4"/>
      <c r="I6" s="4"/>
      <c r="J6" s="4"/>
      <c r="K6" s="13"/>
    </row>
    <row r="7" spans="1:11" x14ac:dyDescent="0.25">
      <c r="A7" s="3" t="s">
        <v>10</v>
      </c>
      <c r="B7" s="4"/>
      <c r="C7" s="4"/>
      <c r="D7" s="4"/>
      <c r="E7" s="4"/>
      <c r="F7" s="4"/>
      <c r="G7" s="4"/>
      <c r="H7" s="4"/>
      <c r="I7" s="4"/>
      <c r="J7" s="5">
        <f t="shared" ref="J7:J24" si="0">(((((((B7)+(C7))+(D7))+(E7))+(F7))+(G7))+(H7))+(I7)</f>
        <v>0</v>
      </c>
      <c r="K7" s="13"/>
    </row>
    <row r="8" spans="1:11" x14ac:dyDescent="0.25">
      <c r="A8" s="3" t="s">
        <v>11</v>
      </c>
      <c r="B8" s="4"/>
      <c r="C8" s="5">
        <f>6835</f>
        <v>6835</v>
      </c>
      <c r="D8" s="5">
        <f>2500</f>
        <v>2500</v>
      </c>
      <c r="E8" s="4"/>
      <c r="F8" s="4"/>
      <c r="G8" s="4"/>
      <c r="H8" s="4"/>
      <c r="I8" s="4"/>
      <c r="J8" s="5">
        <f t="shared" si="0"/>
        <v>9335</v>
      </c>
      <c r="K8" s="13"/>
    </row>
    <row r="9" spans="1:11" x14ac:dyDescent="0.25">
      <c r="A9" s="3" t="s">
        <v>12</v>
      </c>
      <c r="B9" s="5">
        <f>22.47</f>
        <v>22.47</v>
      </c>
      <c r="C9" s="4"/>
      <c r="D9" s="4"/>
      <c r="E9" s="4"/>
      <c r="F9" s="4"/>
      <c r="G9" s="4"/>
      <c r="H9" s="4"/>
      <c r="I9" s="4"/>
      <c r="J9" s="5">
        <f t="shared" si="0"/>
        <v>22.47</v>
      </c>
      <c r="K9" s="13">
        <v>2000</v>
      </c>
    </row>
    <row r="10" spans="1:11" x14ac:dyDescent="0.25">
      <c r="A10" s="3" t="s">
        <v>13</v>
      </c>
      <c r="B10" s="4"/>
      <c r="C10" s="4"/>
      <c r="D10" s="5">
        <f>182</f>
        <v>182</v>
      </c>
      <c r="E10" s="4"/>
      <c r="F10" s="4"/>
      <c r="G10" s="4"/>
      <c r="H10" s="4"/>
      <c r="I10" s="4"/>
      <c r="J10" s="5">
        <f t="shared" si="0"/>
        <v>182</v>
      </c>
      <c r="K10" s="13">
        <v>200</v>
      </c>
    </row>
    <row r="11" spans="1:11" x14ac:dyDescent="0.25">
      <c r="A11" s="3" t="s">
        <v>14</v>
      </c>
      <c r="B11" s="4"/>
      <c r="C11" s="5">
        <f>47</f>
        <v>47</v>
      </c>
      <c r="D11" s="5">
        <f>25</f>
        <v>25</v>
      </c>
      <c r="E11" s="5">
        <f>290</f>
        <v>290</v>
      </c>
      <c r="F11" s="4"/>
      <c r="G11" s="4"/>
      <c r="H11" s="4"/>
      <c r="I11" s="5">
        <f>1449</f>
        <v>1449</v>
      </c>
      <c r="J11" s="5">
        <f t="shared" si="0"/>
        <v>1811</v>
      </c>
      <c r="K11" s="13">
        <v>200</v>
      </c>
    </row>
    <row r="12" spans="1:11" x14ac:dyDescent="0.25">
      <c r="A12" s="3" t="s">
        <v>15</v>
      </c>
      <c r="B12" s="5">
        <f>8.4</f>
        <v>8.4</v>
      </c>
      <c r="C12" s="5">
        <f>6.89</f>
        <v>6.89</v>
      </c>
      <c r="D12" s="5">
        <f>2.31</f>
        <v>2.31</v>
      </c>
      <c r="E12" s="5">
        <f>1.94</f>
        <v>1.94</v>
      </c>
      <c r="F12" s="5">
        <f>2.13</f>
        <v>2.13</v>
      </c>
      <c r="G12" s="5">
        <f>1.71</f>
        <v>1.71</v>
      </c>
      <c r="H12" s="5">
        <f>1.97</f>
        <v>1.97</v>
      </c>
      <c r="I12" s="5">
        <f>1.99</f>
        <v>1.99</v>
      </c>
      <c r="J12" s="5">
        <f t="shared" si="0"/>
        <v>27.339999999999996</v>
      </c>
      <c r="K12" s="13">
        <v>1000</v>
      </c>
    </row>
    <row r="13" spans="1:11" x14ac:dyDescent="0.25">
      <c r="A13" s="3" t="s">
        <v>16</v>
      </c>
      <c r="B13" s="4"/>
      <c r="C13" s="4"/>
      <c r="D13" s="4"/>
      <c r="E13" s="4"/>
      <c r="F13" s="4"/>
      <c r="G13" s="4"/>
      <c r="H13" s="4"/>
      <c r="I13" s="5">
        <f>774</f>
        <v>774</v>
      </c>
      <c r="J13" s="5">
        <f t="shared" si="0"/>
        <v>774</v>
      </c>
      <c r="K13" s="13"/>
    </row>
    <row r="14" spans="1:11" x14ac:dyDescent="0.25">
      <c r="A14" s="3" t="s">
        <v>17</v>
      </c>
      <c r="B14" s="4"/>
      <c r="C14" s="4"/>
      <c r="D14" s="4"/>
      <c r="E14" s="4"/>
      <c r="F14" s="4"/>
      <c r="G14" s="4"/>
      <c r="H14" s="5">
        <f>40</f>
        <v>40</v>
      </c>
      <c r="I14" s="4"/>
      <c r="J14" s="5">
        <f t="shared" si="0"/>
        <v>40</v>
      </c>
      <c r="K14" s="13">
        <v>250</v>
      </c>
    </row>
    <row r="15" spans="1:11" x14ac:dyDescent="0.25">
      <c r="A15" s="3" t="s">
        <v>18</v>
      </c>
      <c r="B15" s="4"/>
      <c r="C15" s="4"/>
      <c r="D15" s="4"/>
      <c r="E15" s="5">
        <f>155</f>
        <v>155</v>
      </c>
      <c r="F15" s="4"/>
      <c r="G15" s="4"/>
      <c r="H15" s="5">
        <f>30</f>
        <v>30</v>
      </c>
      <c r="I15" s="4"/>
      <c r="J15" s="5">
        <f t="shared" si="0"/>
        <v>185</v>
      </c>
      <c r="K15" s="13">
        <v>500</v>
      </c>
    </row>
    <row r="16" spans="1:11" x14ac:dyDescent="0.25">
      <c r="A16" s="3" t="s">
        <v>19</v>
      </c>
      <c r="B16" s="4"/>
      <c r="C16" s="4"/>
      <c r="D16" s="4"/>
      <c r="E16" s="4"/>
      <c r="F16" s="4"/>
      <c r="G16" s="4"/>
      <c r="H16" s="4"/>
      <c r="I16" s="4"/>
      <c r="J16" s="5">
        <f t="shared" si="0"/>
        <v>0</v>
      </c>
      <c r="K16" s="13"/>
    </row>
    <row r="17" spans="1:11" x14ac:dyDescent="0.25">
      <c r="A17" s="3" t="s">
        <v>20</v>
      </c>
      <c r="B17" s="5">
        <f>3464.21</f>
        <v>3464.21</v>
      </c>
      <c r="C17" s="5">
        <f>3436.11</f>
        <v>3436.11</v>
      </c>
      <c r="D17" s="5">
        <f>3733.17</f>
        <v>3733.17</v>
      </c>
      <c r="E17" s="5">
        <f>4210.56</f>
        <v>4210.5600000000004</v>
      </c>
      <c r="F17" s="5">
        <f>4010.56</f>
        <v>4010.56</v>
      </c>
      <c r="G17" s="5">
        <f>4489.34</f>
        <v>4489.34</v>
      </c>
      <c r="H17" s="5">
        <f>4402.93</f>
        <v>4402.93</v>
      </c>
      <c r="I17" s="5">
        <f>4263.77</f>
        <v>4263.7700000000004</v>
      </c>
      <c r="J17" s="5">
        <f t="shared" si="0"/>
        <v>32010.65</v>
      </c>
      <c r="K17" s="13" t="s">
        <v>90</v>
      </c>
    </row>
    <row r="18" spans="1:11" x14ac:dyDescent="0.25">
      <c r="A18" s="3" t="s">
        <v>21</v>
      </c>
      <c r="B18" s="5">
        <f>5515.61</f>
        <v>5515.61</v>
      </c>
      <c r="C18" s="5">
        <f>15760</f>
        <v>15760</v>
      </c>
      <c r="D18" s="5">
        <f>2055</f>
        <v>2055</v>
      </c>
      <c r="E18" s="5">
        <f>1818</f>
        <v>1818</v>
      </c>
      <c r="F18" s="5">
        <f>7880</f>
        <v>7880</v>
      </c>
      <c r="G18" s="5">
        <f>1805</f>
        <v>1805</v>
      </c>
      <c r="H18" s="5">
        <f>14510</f>
        <v>14510</v>
      </c>
      <c r="I18" s="5">
        <f>1800</f>
        <v>1800</v>
      </c>
      <c r="J18" s="5">
        <f t="shared" si="0"/>
        <v>51143.61</v>
      </c>
      <c r="K18" s="13" t="s">
        <v>90</v>
      </c>
    </row>
    <row r="19" spans="1:11" x14ac:dyDescent="0.25">
      <c r="A19" s="3" t="s">
        <v>22</v>
      </c>
      <c r="B19" s="6">
        <f t="shared" ref="B19:I19" si="1">((B16)+(B17))+(B18)</f>
        <v>8979.82</v>
      </c>
      <c r="C19" s="6">
        <f t="shared" si="1"/>
        <v>19196.11</v>
      </c>
      <c r="D19" s="6">
        <f t="shared" si="1"/>
        <v>5788.17</v>
      </c>
      <c r="E19" s="6">
        <f t="shared" si="1"/>
        <v>6028.56</v>
      </c>
      <c r="F19" s="6">
        <f t="shared" si="1"/>
        <v>11890.56</v>
      </c>
      <c r="G19" s="6">
        <f t="shared" si="1"/>
        <v>6294.34</v>
      </c>
      <c r="H19" s="6">
        <f t="shared" si="1"/>
        <v>18912.93</v>
      </c>
      <c r="I19" s="6">
        <f t="shared" si="1"/>
        <v>6063.77</v>
      </c>
      <c r="J19" s="6">
        <f t="shared" si="0"/>
        <v>83154.259999999995</v>
      </c>
      <c r="K19" s="14">
        <v>108000</v>
      </c>
    </row>
    <row r="20" spans="1:11" x14ac:dyDescent="0.25">
      <c r="A20" s="3" t="s">
        <v>23</v>
      </c>
      <c r="B20" s="4"/>
      <c r="C20" s="4"/>
      <c r="D20" s="4"/>
      <c r="E20" s="4"/>
      <c r="F20" s="4"/>
      <c r="G20" s="5">
        <f>64.99</f>
        <v>64.989999999999995</v>
      </c>
      <c r="H20" s="4"/>
      <c r="I20" s="4"/>
      <c r="J20" s="5">
        <f t="shared" si="0"/>
        <v>64.989999999999995</v>
      </c>
      <c r="K20" s="15"/>
    </row>
    <row r="21" spans="1:11" x14ac:dyDescent="0.25">
      <c r="A21" s="3" t="s">
        <v>24</v>
      </c>
      <c r="B21" s="4"/>
      <c r="C21" s="4"/>
      <c r="D21" s="4"/>
      <c r="E21" s="4"/>
      <c r="F21" s="4"/>
      <c r="G21" s="5">
        <f>6862.56</f>
        <v>6862.56</v>
      </c>
      <c r="H21" s="5">
        <f>175</f>
        <v>175</v>
      </c>
      <c r="I21" s="4"/>
      <c r="J21" s="5">
        <f t="shared" si="0"/>
        <v>7037.56</v>
      </c>
      <c r="K21" s="16">
        <v>2000</v>
      </c>
    </row>
    <row r="22" spans="1:11" x14ac:dyDescent="0.25">
      <c r="A22" s="3" t="s">
        <v>25</v>
      </c>
      <c r="B22" s="6">
        <f t="shared" ref="B22:I22" si="2">(((((((((((B7)+(B8))+(B9))+(B10))+(B11))+(B12))+(B13))+(B14))+(B15))+(B19))+(B20))+(B21)</f>
        <v>9010.69</v>
      </c>
      <c r="C22" s="6">
        <f t="shared" si="2"/>
        <v>26085</v>
      </c>
      <c r="D22" s="6">
        <f t="shared" si="2"/>
        <v>8497.48</v>
      </c>
      <c r="E22" s="6">
        <f t="shared" si="2"/>
        <v>6475.5</v>
      </c>
      <c r="F22" s="6">
        <f t="shared" si="2"/>
        <v>11892.689999999999</v>
      </c>
      <c r="G22" s="6">
        <f t="shared" si="2"/>
        <v>13223.6</v>
      </c>
      <c r="H22" s="6">
        <f t="shared" si="2"/>
        <v>19159.900000000001</v>
      </c>
      <c r="I22" s="6">
        <f t="shared" si="2"/>
        <v>8288.76</v>
      </c>
      <c r="J22" s="6">
        <f t="shared" si="0"/>
        <v>102633.62000000001</v>
      </c>
      <c r="K22" s="17">
        <v>115800</v>
      </c>
    </row>
    <row r="23" spans="1:11" x14ac:dyDescent="0.25">
      <c r="A23" s="3" t="s">
        <v>26</v>
      </c>
      <c r="B23" s="6">
        <f t="shared" ref="B23:I23" si="3">B22</f>
        <v>9010.69</v>
      </c>
      <c r="C23" s="6">
        <f t="shared" si="3"/>
        <v>26085</v>
      </c>
      <c r="D23" s="6">
        <f t="shared" si="3"/>
        <v>8497.48</v>
      </c>
      <c r="E23" s="6">
        <f t="shared" si="3"/>
        <v>6475.5</v>
      </c>
      <c r="F23" s="6">
        <f t="shared" si="3"/>
        <v>11892.689999999999</v>
      </c>
      <c r="G23" s="6">
        <f t="shared" si="3"/>
        <v>13223.6</v>
      </c>
      <c r="H23" s="6">
        <f t="shared" si="3"/>
        <v>19159.900000000001</v>
      </c>
      <c r="I23" s="6">
        <f t="shared" si="3"/>
        <v>8288.76</v>
      </c>
      <c r="J23" s="6">
        <f t="shared" si="0"/>
        <v>102633.62000000001</v>
      </c>
      <c r="K23" s="18">
        <v>115800</v>
      </c>
    </row>
    <row r="24" spans="1:11" x14ac:dyDescent="0.25">
      <c r="A24" s="3" t="s">
        <v>27</v>
      </c>
      <c r="B24" s="6">
        <f t="shared" ref="B24:I24" si="4">(B23)-(0)</f>
        <v>9010.69</v>
      </c>
      <c r="C24" s="6">
        <f t="shared" si="4"/>
        <v>26085</v>
      </c>
      <c r="D24" s="6">
        <f t="shared" si="4"/>
        <v>8497.48</v>
      </c>
      <c r="E24" s="6">
        <f t="shared" si="4"/>
        <v>6475.5</v>
      </c>
      <c r="F24" s="6">
        <f t="shared" si="4"/>
        <v>11892.689999999999</v>
      </c>
      <c r="G24" s="6">
        <f t="shared" si="4"/>
        <v>13223.6</v>
      </c>
      <c r="H24" s="6">
        <f t="shared" si="4"/>
        <v>19159.900000000001</v>
      </c>
      <c r="I24" s="6">
        <f t="shared" si="4"/>
        <v>8288.76</v>
      </c>
      <c r="J24" s="6">
        <f t="shared" si="0"/>
        <v>102633.62000000001</v>
      </c>
      <c r="K24" s="17">
        <v>115800</v>
      </c>
    </row>
    <row r="25" spans="1:11" x14ac:dyDescent="0.25">
      <c r="A25" s="3" t="s">
        <v>28</v>
      </c>
      <c r="B25" s="4"/>
      <c r="C25" s="4"/>
      <c r="D25" s="4"/>
      <c r="E25" s="4"/>
      <c r="F25" s="4"/>
      <c r="G25" s="4"/>
      <c r="H25" s="4"/>
      <c r="I25" s="4"/>
      <c r="J25" s="4"/>
      <c r="K25" s="13"/>
    </row>
    <row r="26" spans="1:11" x14ac:dyDescent="0.25">
      <c r="A26" s="3" t="s">
        <v>29</v>
      </c>
      <c r="B26" s="5">
        <f>130</f>
        <v>130</v>
      </c>
      <c r="C26" s="5">
        <f>45</f>
        <v>45</v>
      </c>
      <c r="D26" s="5">
        <f>19.38</f>
        <v>19.38</v>
      </c>
      <c r="E26" s="4"/>
      <c r="F26" s="5">
        <f>200</f>
        <v>200</v>
      </c>
      <c r="G26" s="5">
        <f>20</f>
        <v>20</v>
      </c>
      <c r="H26" s="4"/>
      <c r="I26" s="4"/>
      <c r="J26" s="5">
        <f t="shared" ref="J26:J57" si="5">(((((((B26)+(C26))+(D26))+(E26))+(F26))+(G26))+(H26))+(I26)</f>
        <v>414.38</v>
      </c>
      <c r="K26" s="13">
        <v>800</v>
      </c>
    </row>
    <row r="27" spans="1:11" x14ac:dyDescent="0.25">
      <c r="A27" s="3" t="s">
        <v>30</v>
      </c>
      <c r="B27" s="5">
        <f>325</f>
        <v>325</v>
      </c>
      <c r="C27" s="5">
        <f>325</f>
        <v>325</v>
      </c>
      <c r="D27" s="5">
        <f>325</f>
        <v>325</v>
      </c>
      <c r="E27" s="5">
        <f>325</f>
        <v>325</v>
      </c>
      <c r="F27" s="5">
        <f>325</f>
        <v>325</v>
      </c>
      <c r="G27" s="5">
        <f>325</f>
        <v>325</v>
      </c>
      <c r="H27" s="5">
        <f>340</f>
        <v>340</v>
      </c>
      <c r="I27" s="5">
        <f>325</f>
        <v>325</v>
      </c>
      <c r="J27" s="5">
        <f t="shared" si="5"/>
        <v>2615</v>
      </c>
      <c r="K27" s="13"/>
    </row>
    <row r="28" spans="1:11" x14ac:dyDescent="0.25">
      <c r="A28" s="3" t="s">
        <v>31</v>
      </c>
      <c r="B28" s="5">
        <f>200</f>
        <v>200</v>
      </c>
      <c r="C28" s="4"/>
      <c r="D28" s="4"/>
      <c r="E28" s="4"/>
      <c r="F28" s="4"/>
      <c r="G28" s="4"/>
      <c r="H28" s="4"/>
      <c r="I28" s="4"/>
      <c r="J28" s="5">
        <f t="shared" si="5"/>
        <v>200</v>
      </c>
      <c r="K28" s="13"/>
    </row>
    <row r="29" spans="1:11" x14ac:dyDescent="0.25">
      <c r="A29" s="3" t="s">
        <v>17</v>
      </c>
      <c r="B29" s="5">
        <f>100</f>
        <v>100</v>
      </c>
      <c r="C29" s="4"/>
      <c r="D29" s="4"/>
      <c r="E29" s="4"/>
      <c r="F29" s="4"/>
      <c r="G29" s="4"/>
      <c r="H29" s="5">
        <f>50</f>
        <v>50</v>
      </c>
      <c r="I29" s="4"/>
      <c r="J29" s="5">
        <f t="shared" si="5"/>
        <v>150</v>
      </c>
      <c r="K29" s="13"/>
    </row>
    <row r="30" spans="1:11" x14ac:dyDescent="0.25">
      <c r="A30" s="3" t="s">
        <v>32</v>
      </c>
      <c r="B30" s="6">
        <f t="shared" ref="B30:I30" si="6">((B27)+(B28))+(B29)</f>
        <v>625</v>
      </c>
      <c r="C30" s="6">
        <f t="shared" si="6"/>
        <v>325</v>
      </c>
      <c r="D30" s="6">
        <f t="shared" si="6"/>
        <v>325</v>
      </c>
      <c r="E30" s="6">
        <f t="shared" si="6"/>
        <v>325</v>
      </c>
      <c r="F30" s="6">
        <f t="shared" si="6"/>
        <v>325</v>
      </c>
      <c r="G30" s="6">
        <f t="shared" si="6"/>
        <v>325</v>
      </c>
      <c r="H30" s="6">
        <f t="shared" si="6"/>
        <v>390</v>
      </c>
      <c r="I30" s="6">
        <f t="shared" si="6"/>
        <v>325</v>
      </c>
      <c r="J30" s="6">
        <f t="shared" si="5"/>
        <v>2965</v>
      </c>
      <c r="K30" s="19">
        <v>5000</v>
      </c>
    </row>
    <row r="31" spans="1:11" x14ac:dyDescent="0.25">
      <c r="A31" s="3" t="s">
        <v>33</v>
      </c>
      <c r="B31" s="4"/>
      <c r="C31" s="5">
        <f>113.77</f>
        <v>113.77</v>
      </c>
      <c r="D31" s="5">
        <f>357.5</f>
        <v>357.5</v>
      </c>
      <c r="E31" s="5">
        <f>660.94</f>
        <v>660.94</v>
      </c>
      <c r="F31" s="4"/>
      <c r="G31" s="4"/>
      <c r="H31" s="4"/>
      <c r="I31" s="4"/>
      <c r="J31" s="5">
        <f t="shared" si="5"/>
        <v>1132.21</v>
      </c>
      <c r="K31" s="20">
        <v>2250</v>
      </c>
    </row>
    <row r="32" spans="1:11" x14ac:dyDescent="0.25">
      <c r="A32" s="3" t="s">
        <v>34</v>
      </c>
      <c r="B32" s="4"/>
      <c r="C32" s="4"/>
      <c r="D32" s="4"/>
      <c r="E32" s="4"/>
      <c r="F32" s="4"/>
      <c r="G32" s="4"/>
      <c r="H32" s="4"/>
      <c r="I32" s="4"/>
      <c r="J32" s="5">
        <f t="shared" si="5"/>
        <v>0</v>
      </c>
      <c r="K32" s="13"/>
    </row>
    <row r="33" spans="1:12" x14ac:dyDescent="0.25">
      <c r="A33" s="3" t="s">
        <v>35</v>
      </c>
      <c r="B33" s="5">
        <f>600</f>
        <v>600</v>
      </c>
      <c r="C33" s="4"/>
      <c r="D33" s="4"/>
      <c r="E33" s="4"/>
      <c r="F33" s="4"/>
      <c r="G33" s="4"/>
      <c r="H33" s="4"/>
      <c r="I33" s="4"/>
      <c r="J33" s="5">
        <f t="shared" si="5"/>
        <v>600</v>
      </c>
      <c r="K33" s="13">
        <v>600</v>
      </c>
    </row>
    <row r="34" spans="1:12" x14ac:dyDescent="0.25">
      <c r="A34" s="3" t="s">
        <v>36</v>
      </c>
      <c r="B34" s="4"/>
      <c r="C34" s="4"/>
      <c r="D34" s="4"/>
      <c r="E34" s="5">
        <f>156.55</f>
        <v>156.55000000000001</v>
      </c>
      <c r="F34" s="5">
        <f>581.6</f>
        <v>581.6</v>
      </c>
      <c r="G34" s="5">
        <f>234.08</f>
        <v>234.08</v>
      </c>
      <c r="H34" s="4"/>
      <c r="I34" s="4"/>
      <c r="J34" s="5">
        <f t="shared" si="5"/>
        <v>972.23000000000013</v>
      </c>
      <c r="K34" s="13">
        <v>1950</v>
      </c>
    </row>
    <row r="35" spans="1:12" x14ac:dyDescent="0.25">
      <c r="A35" s="3" t="s">
        <v>37</v>
      </c>
      <c r="B35" s="4"/>
      <c r="C35" s="4"/>
      <c r="D35" s="5">
        <f>1180</f>
        <v>1180</v>
      </c>
      <c r="E35" s="5">
        <f>875</f>
        <v>875</v>
      </c>
      <c r="F35" s="4"/>
      <c r="G35" s="4"/>
      <c r="H35" s="4"/>
      <c r="I35" s="4"/>
      <c r="J35" s="5">
        <f t="shared" si="5"/>
        <v>2055</v>
      </c>
      <c r="K35" s="13">
        <v>2500</v>
      </c>
    </row>
    <row r="36" spans="1:12" x14ac:dyDescent="0.25">
      <c r="A36" s="3" t="s">
        <v>38</v>
      </c>
      <c r="B36" s="5">
        <f>92.17</f>
        <v>92.17</v>
      </c>
      <c r="C36" s="4"/>
      <c r="D36" s="4"/>
      <c r="E36" s="5">
        <f>89.12</f>
        <v>89.12</v>
      </c>
      <c r="F36" s="4"/>
      <c r="G36" s="4"/>
      <c r="H36" s="5">
        <f>87.34</f>
        <v>87.34</v>
      </c>
      <c r="I36" s="4"/>
      <c r="J36" s="5">
        <f t="shared" si="5"/>
        <v>268.63</v>
      </c>
      <c r="K36" s="13">
        <v>400</v>
      </c>
    </row>
    <row r="37" spans="1:12" x14ac:dyDescent="0.25">
      <c r="A37" s="3" t="s">
        <v>39</v>
      </c>
      <c r="B37" s="6">
        <f t="shared" ref="B37:I37" si="7">((((B32)+(B33))+(B34))+(B35))+(B36)</f>
        <v>692.17</v>
      </c>
      <c r="C37" s="6">
        <f t="shared" si="7"/>
        <v>0</v>
      </c>
      <c r="D37" s="6">
        <f t="shared" si="7"/>
        <v>1180</v>
      </c>
      <c r="E37" s="6">
        <f t="shared" si="7"/>
        <v>1120.67</v>
      </c>
      <c r="F37" s="6">
        <f t="shared" si="7"/>
        <v>581.6</v>
      </c>
      <c r="G37" s="6">
        <f t="shared" si="7"/>
        <v>234.08</v>
      </c>
      <c r="H37" s="6">
        <f t="shared" si="7"/>
        <v>87.34</v>
      </c>
      <c r="I37" s="6">
        <f t="shared" si="7"/>
        <v>0</v>
      </c>
      <c r="J37" s="6">
        <f t="shared" si="5"/>
        <v>3895.86</v>
      </c>
      <c r="K37" s="17">
        <v>5450</v>
      </c>
    </row>
    <row r="38" spans="1:12" x14ac:dyDescent="0.25">
      <c r="A38" s="3" t="s">
        <v>40</v>
      </c>
      <c r="B38" s="4"/>
      <c r="C38" s="4"/>
      <c r="D38" s="4"/>
      <c r="E38" s="4"/>
      <c r="F38" s="4"/>
      <c r="G38" s="5">
        <f>9400</f>
        <v>9400</v>
      </c>
      <c r="H38" s="4"/>
      <c r="I38" s="4"/>
      <c r="J38" s="5">
        <f t="shared" si="5"/>
        <v>9400</v>
      </c>
      <c r="K38" s="21">
        <v>5000</v>
      </c>
    </row>
    <row r="39" spans="1:12" x14ac:dyDescent="0.25">
      <c r="A39" s="3" t="s">
        <v>41</v>
      </c>
      <c r="B39" s="4"/>
      <c r="C39" s="5">
        <f>7.5</f>
        <v>7.5</v>
      </c>
      <c r="D39" s="4"/>
      <c r="E39" s="5">
        <f>592.5</f>
        <v>592.5</v>
      </c>
      <c r="F39" s="5">
        <f>42.24</f>
        <v>42.24</v>
      </c>
      <c r="G39" s="4"/>
      <c r="H39" s="5">
        <f>314.29</f>
        <v>314.29000000000002</v>
      </c>
      <c r="I39" s="4"/>
      <c r="J39" s="5">
        <f t="shared" si="5"/>
        <v>956.53</v>
      </c>
      <c r="K39" s="13">
        <v>2000</v>
      </c>
    </row>
    <row r="40" spans="1:12" x14ac:dyDescent="0.25">
      <c r="A40" s="3" t="s">
        <v>42</v>
      </c>
      <c r="B40" s="4"/>
      <c r="C40" s="4"/>
      <c r="D40" s="4"/>
      <c r="E40" s="4"/>
      <c r="F40" s="4"/>
      <c r="G40" s="5">
        <f>35</f>
        <v>35</v>
      </c>
      <c r="H40" s="5">
        <f>33.51</f>
        <v>33.51</v>
      </c>
      <c r="I40" s="4"/>
      <c r="J40" s="5">
        <f t="shared" si="5"/>
        <v>68.509999999999991</v>
      </c>
      <c r="K40" s="13">
        <v>1000</v>
      </c>
    </row>
    <row r="41" spans="1:12" x14ac:dyDescent="0.25">
      <c r="A41" s="3" t="s">
        <v>43</v>
      </c>
      <c r="B41" s="4"/>
      <c r="C41" s="4"/>
      <c r="D41" s="4"/>
      <c r="E41" s="4"/>
      <c r="F41" s="4"/>
      <c r="G41" s="4"/>
      <c r="H41" s="4"/>
      <c r="I41" s="4"/>
      <c r="J41" s="5">
        <f t="shared" si="5"/>
        <v>0</v>
      </c>
      <c r="K41" s="13"/>
    </row>
    <row r="42" spans="1:12" x14ac:dyDescent="0.25">
      <c r="A42" s="3" t="s">
        <v>44</v>
      </c>
      <c r="B42" s="5">
        <f>3051.5</f>
        <v>3051.5</v>
      </c>
      <c r="C42" s="4"/>
      <c r="D42" s="4"/>
      <c r="E42" s="4"/>
      <c r="F42" s="5">
        <f>3051.5</f>
        <v>3051.5</v>
      </c>
      <c r="G42" s="4"/>
      <c r="H42" s="4"/>
      <c r="I42" s="4"/>
      <c r="J42" s="5">
        <f t="shared" si="5"/>
        <v>6103</v>
      </c>
      <c r="K42" s="13">
        <v>5800</v>
      </c>
    </row>
    <row r="43" spans="1:12" x14ac:dyDescent="0.25">
      <c r="A43" s="3" t="s">
        <v>45</v>
      </c>
      <c r="B43" s="5">
        <f>914</f>
        <v>914</v>
      </c>
      <c r="C43" s="4"/>
      <c r="D43" s="4"/>
      <c r="E43" s="4"/>
      <c r="F43" s="5">
        <f>-909</f>
        <v>-909</v>
      </c>
      <c r="G43" s="4"/>
      <c r="H43" s="4"/>
      <c r="I43" s="4"/>
      <c r="J43" s="5">
        <f t="shared" si="5"/>
        <v>5</v>
      </c>
      <c r="K43" s="13">
        <v>950</v>
      </c>
    </row>
    <row r="44" spans="1:12" x14ac:dyDescent="0.25">
      <c r="A44" s="3" t="s">
        <v>46</v>
      </c>
      <c r="B44" s="6">
        <f t="shared" ref="B44:I44" si="8">((B41)+(B42))+(B43)</f>
        <v>3965.5</v>
      </c>
      <c r="C44" s="6">
        <f t="shared" si="8"/>
        <v>0</v>
      </c>
      <c r="D44" s="6">
        <f t="shared" si="8"/>
        <v>0</v>
      </c>
      <c r="E44" s="6">
        <f t="shared" si="8"/>
        <v>0</v>
      </c>
      <c r="F44" s="6">
        <f t="shared" si="8"/>
        <v>2142.5</v>
      </c>
      <c r="G44" s="6">
        <f t="shared" si="8"/>
        <v>0</v>
      </c>
      <c r="H44" s="6">
        <f t="shared" si="8"/>
        <v>0</v>
      </c>
      <c r="I44" s="6">
        <f t="shared" si="8"/>
        <v>0</v>
      </c>
      <c r="J44" s="6">
        <f t="shared" si="5"/>
        <v>6108</v>
      </c>
      <c r="K44" s="19">
        <v>6750</v>
      </c>
    </row>
    <row r="45" spans="1:12" x14ac:dyDescent="0.25">
      <c r="A45" s="3" t="s">
        <v>47</v>
      </c>
      <c r="B45" s="5">
        <f>562.41</f>
        <v>562.41</v>
      </c>
      <c r="C45" s="5">
        <f>560.36</f>
        <v>560.36</v>
      </c>
      <c r="D45" s="5">
        <f>504.26</f>
        <v>504.26</v>
      </c>
      <c r="E45" s="5">
        <f>555.97</f>
        <v>555.97</v>
      </c>
      <c r="F45" s="5">
        <f>536.09</f>
        <v>536.09</v>
      </c>
      <c r="G45" s="5">
        <f>551.71</f>
        <v>551.71</v>
      </c>
      <c r="H45" s="5">
        <f>531.88</f>
        <v>531.88</v>
      </c>
      <c r="I45" s="5">
        <f>547.49</f>
        <v>547.49</v>
      </c>
      <c r="J45" s="5">
        <f t="shared" si="5"/>
        <v>4350.17</v>
      </c>
      <c r="K45" s="13">
        <v>6500</v>
      </c>
    </row>
    <row r="46" spans="1:12" x14ac:dyDescent="0.25">
      <c r="A46" s="3" t="s">
        <v>48</v>
      </c>
      <c r="B46" s="4"/>
      <c r="C46" s="4"/>
      <c r="D46" s="4"/>
      <c r="E46" s="4"/>
      <c r="F46" s="4"/>
      <c r="G46" s="5">
        <f>5000</f>
        <v>5000</v>
      </c>
      <c r="H46" s="4"/>
      <c r="I46" s="4"/>
      <c r="J46" s="5">
        <f t="shared" si="5"/>
        <v>5000</v>
      </c>
      <c r="K46" s="13"/>
    </row>
    <row r="47" spans="1:12" x14ac:dyDescent="0.25">
      <c r="A47" s="3" t="s">
        <v>49</v>
      </c>
      <c r="B47" s="5">
        <f>71.45</f>
        <v>71.45</v>
      </c>
      <c r="C47" s="5">
        <f>8</f>
        <v>8</v>
      </c>
      <c r="D47" s="4"/>
      <c r="E47" s="4"/>
      <c r="F47" s="4"/>
      <c r="G47" s="5">
        <f>29.99</f>
        <v>29.99</v>
      </c>
      <c r="H47" s="4"/>
      <c r="I47" s="5">
        <f>20</f>
        <v>20</v>
      </c>
      <c r="J47" s="5">
        <f t="shared" si="5"/>
        <v>129.44</v>
      </c>
      <c r="K47" s="13"/>
    </row>
    <row r="48" spans="1:12" x14ac:dyDescent="0.25">
      <c r="A48" s="3" t="s">
        <v>50</v>
      </c>
      <c r="B48" s="5">
        <f>288.77</f>
        <v>288.77</v>
      </c>
      <c r="C48" s="4"/>
      <c r="D48" s="4"/>
      <c r="E48" s="4"/>
      <c r="F48" s="4"/>
      <c r="G48" s="4"/>
      <c r="H48" s="4"/>
      <c r="I48" s="4"/>
      <c r="J48" s="5">
        <f t="shared" si="5"/>
        <v>288.77</v>
      </c>
      <c r="K48" s="13">
        <v>1000</v>
      </c>
      <c r="L48" t="s">
        <v>91</v>
      </c>
    </row>
    <row r="49" spans="1:11" x14ac:dyDescent="0.25">
      <c r="A49" s="3" t="s">
        <v>51</v>
      </c>
      <c r="B49" s="6">
        <f t="shared" ref="B49:I49" si="9">(B47)+(B48)</f>
        <v>360.21999999999997</v>
      </c>
      <c r="C49" s="6">
        <f t="shared" si="9"/>
        <v>8</v>
      </c>
      <c r="D49" s="6">
        <f t="shared" si="9"/>
        <v>0</v>
      </c>
      <c r="E49" s="6">
        <f t="shared" si="9"/>
        <v>0</v>
      </c>
      <c r="F49" s="6">
        <f t="shared" si="9"/>
        <v>0</v>
      </c>
      <c r="G49" s="6">
        <f t="shared" si="9"/>
        <v>29.99</v>
      </c>
      <c r="H49" s="6">
        <f t="shared" si="9"/>
        <v>0</v>
      </c>
      <c r="I49" s="6">
        <f t="shared" si="9"/>
        <v>20</v>
      </c>
      <c r="J49" s="6">
        <f t="shared" si="5"/>
        <v>418.21</v>
      </c>
      <c r="K49" s="17">
        <v>1000</v>
      </c>
    </row>
    <row r="50" spans="1:11" x14ac:dyDescent="0.25">
      <c r="A50" s="3" t="s">
        <v>52</v>
      </c>
      <c r="B50" s="4"/>
      <c r="C50" s="4"/>
      <c r="D50" s="4"/>
      <c r="E50" s="4"/>
      <c r="F50" s="5">
        <f>12</f>
        <v>12</v>
      </c>
      <c r="G50" s="4"/>
      <c r="H50" s="4"/>
      <c r="I50" s="4"/>
      <c r="J50" s="5">
        <f t="shared" si="5"/>
        <v>12</v>
      </c>
      <c r="K50" s="13"/>
    </row>
    <row r="51" spans="1:11" x14ac:dyDescent="0.25">
      <c r="A51" s="3" t="s">
        <v>53</v>
      </c>
      <c r="B51" s="5">
        <f>54.8</f>
        <v>54.8</v>
      </c>
      <c r="C51" s="5">
        <f>66</f>
        <v>66</v>
      </c>
      <c r="D51" s="5">
        <f>57</f>
        <v>57</v>
      </c>
      <c r="E51" s="5">
        <f>57</f>
        <v>57</v>
      </c>
      <c r="F51" s="5">
        <f>124.63</f>
        <v>124.63</v>
      </c>
      <c r="G51" s="5">
        <f>57</f>
        <v>57</v>
      </c>
      <c r="H51" s="5">
        <f>57</f>
        <v>57</v>
      </c>
      <c r="I51" s="5">
        <f>57</f>
        <v>57</v>
      </c>
      <c r="J51" s="5">
        <f t="shared" si="5"/>
        <v>530.43000000000006</v>
      </c>
      <c r="K51" s="13">
        <v>1250</v>
      </c>
    </row>
    <row r="52" spans="1:11" x14ac:dyDescent="0.25">
      <c r="A52" s="3" t="s">
        <v>54</v>
      </c>
      <c r="B52" s="5">
        <f>336</f>
        <v>336</v>
      </c>
      <c r="C52" s="4"/>
      <c r="D52" s="4"/>
      <c r="E52" s="4"/>
      <c r="F52" s="4"/>
      <c r="G52" s="4"/>
      <c r="H52" s="4"/>
      <c r="I52" s="4"/>
      <c r="J52" s="5">
        <f t="shared" si="5"/>
        <v>336</v>
      </c>
      <c r="K52" s="13">
        <v>450</v>
      </c>
    </row>
    <row r="53" spans="1:11" x14ac:dyDescent="0.25">
      <c r="A53" s="3" t="s">
        <v>55</v>
      </c>
      <c r="B53" s="5">
        <f>187.65</f>
        <v>187.65</v>
      </c>
      <c r="C53" s="5">
        <f>111.88</f>
        <v>111.88</v>
      </c>
      <c r="D53" s="5">
        <f>157.92</f>
        <v>157.91999999999999</v>
      </c>
      <c r="E53" s="5">
        <f>54.18</f>
        <v>54.18</v>
      </c>
      <c r="F53" s="5">
        <f>206.63</f>
        <v>206.63</v>
      </c>
      <c r="G53" s="5">
        <f>21.9</f>
        <v>21.9</v>
      </c>
      <c r="H53" s="5">
        <f>149.59</f>
        <v>149.59</v>
      </c>
      <c r="I53" s="5">
        <f>124.04</f>
        <v>124.04</v>
      </c>
      <c r="J53" s="5">
        <f t="shared" si="5"/>
        <v>1013.79</v>
      </c>
      <c r="K53" s="13">
        <v>2000</v>
      </c>
    </row>
    <row r="54" spans="1:11" x14ac:dyDescent="0.25">
      <c r="A54" s="3" t="s">
        <v>56</v>
      </c>
      <c r="B54" s="5">
        <f>259.29</f>
        <v>259.29000000000002</v>
      </c>
      <c r="C54" s="4"/>
      <c r="D54" s="4"/>
      <c r="E54" s="5">
        <f>154.68</f>
        <v>154.68</v>
      </c>
      <c r="F54" s="5">
        <f>39.45</f>
        <v>39.450000000000003</v>
      </c>
      <c r="G54" s="5">
        <f>33.38</f>
        <v>33.380000000000003</v>
      </c>
      <c r="H54" s="5">
        <f>53.98</f>
        <v>53.98</v>
      </c>
      <c r="I54" s="5">
        <f>38.97</f>
        <v>38.97</v>
      </c>
      <c r="J54" s="5">
        <f t="shared" si="5"/>
        <v>579.75</v>
      </c>
      <c r="K54" s="13">
        <v>1250</v>
      </c>
    </row>
    <row r="55" spans="1:11" x14ac:dyDescent="0.25">
      <c r="A55" s="3" t="s">
        <v>57</v>
      </c>
      <c r="B55" s="5">
        <f>1271.62</f>
        <v>1271.6199999999999</v>
      </c>
      <c r="C55" s="5">
        <f>1802.86</f>
        <v>1802.86</v>
      </c>
      <c r="D55" s="5">
        <f>1610.72</f>
        <v>1610.72</v>
      </c>
      <c r="E55" s="5">
        <f>1695.49</f>
        <v>1695.49</v>
      </c>
      <c r="F55" s="5">
        <f>2362.38</f>
        <v>2362.38</v>
      </c>
      <c r="G55" s="5">
        <f>1226.39</f>
        <v>1226.3900000000001</v>
      </c>
      <c r="H55" s="5">
        <f>1701.15</f>
        <v>1701.15</v>
      </c>
      <c r="I55" s="5">
        <f>1186.83</f>
        <v>1186.83</v>
      </c>
      <c r="J55" s="5">
        <f t="shared" si="5"/>
        <v>12857.439999999999</v>
      </c>
      <c r="K55" s="13">
        <v>23000</v>
      </c>
    </row>
    <row r="56" spans="1:11" x14ac:dyDescent="0.25">
      <c r="A56" s="3" t="s">
        <v>58</v>
      </c>
      <c r="B56" s="6">
        <f t="shared" ref="B56:I56" si="10">(((((B50)+(B51))+(B52))+(B53))+(B54))+(B55)</f>
        <v>2109.3599999999997</v>
      </c>
      <c r="C56" s="6">
        <f t="shared" si="10"/>
        <v>1980.7399999999998</v>
      </c>
      <c r="D56" s="6">
        <f t="shared" si="10"/>
        <v>1825.64</v>
      </c>
      <c r="E56" s="6">
        <f t="shared" si="10"/>
        <v>1961.35</v>
      </c>
      <c r="F56" s="6">
        <f t="shared" si="10"/>
        <v>2745.09</v>
      </c>
      <c r="G56" s="6">
        <f t="shared" si="10"/>
        <v>1338.67</v>
      </c>
      <c r="H56" s="6">
        <f t="shared" si="10"/>
        <v>1961.72</v>
      </c>
      <c r="I56" s="6">
        <f t="shared" si="10"/>
        <v>1406.84</v>
      </c>
      <c r="J56" s="6">
        <f t="shared" si="5"/>
        <v>15329.41</v>
      </c>
      <c r="K56" s="17">
        <v>27950</v>
      </c>
    </row>
    <row r="57" spans="1:11" x14ac:dyDescent="0.25">
      <c r="A57" s="3" t="s">
        <v>59</v>
      </c>
      <c r="B57" s="4"/>
      <c r="C57" s="4"/>
      <c r="D57" s="4"/>
      <c r="E57" s="4"/>
      <c r="F57" s="4"/>
      <c r="G57" s="4"/>
      <c r="H57" s="4"/>
      <c r="I57" s="4"/>
      <c r="J57" s="5">
        <f t="shared" si="5"/>
        <v>0</v>
      </c>
      <c r="K57" s="22"/>
    </row>
    <row r="58" spans="1:11" x14ac:dyDescent="0.25">
      <c r="A58" s="3" t="s">
        <v>60</v>
      </c>
      <c r="B58" s="4"/>
      <c r="C58" s="4"/>
      <c r="D58" s="5">
        <f>2.51</f>
        <v>2.5099999999999998</v>
      </c>
      <c r="E58" s="4"/>
      <c r="F58" s="4"/>
      <c r="G58" s="4"/>
      <c r="H58" s="4"/>
      <c r="I58" s="4"/>
      <c r="J58" s="5">
        <f t="shared" ref="J58:J89" si="11">(((((((B58)+(C58))+(D58))+(E58))+(F58))+(G58))+(H58))+(I58)</f>
        <v>2.5099999999999998</v>
      </c>
      <c r="K58" s="23">
        <v>100</v>
      </c>
    </row>
    <row r="59" spans="1:11" x14ac:dyDescent="0.25">
      <c r="A59" s="3" t="s">
        <v>61</v>
      </c>
      <c r="B59" s="6">
        <f t="shared" ref="B59:I59" si="12">(B57)+(B58)</f>
        <v>0</v>
      </c>
      <c r="C59" s="6">
        <f t="shared" si="12"/>
        <v>0</v>
      </c>
      <c r="D59" s="6">
        <f t="shared" si="12"/>
        <v>2.5099999999999998</v>
      </c>
      <c r="E59" s="6">
        <f t="shared" si="12"/>
        <v>0</v>
      </c>
      <c r="F59" s="6">
        <f t="shared" si="12"/>
        <v>0</v>
      </c>
      <c r="G59" s="6">
        <f t="shared" si="12"/>
        <v>0</v>
      </c>
      <c r="H59" s="6">
        <f t="shared" si="12"/>
        <v>0</v>
      </c>
      <c r="I59" s="6">
        <f t="shared" si="12"/>
        <v>0</v>
      </c>
      <c r="J59" s="6">
        <f t="shared" si="11"/>
        <v>2.5099999999999998</v>
      </c>
      <c r="K59" s="22">
        <v>900</v>
      </c>
    </row>
    <row r="60" spans="1:11" x14ac:dyDescent="0.25">
      <c r="A60" s="3" t="s">
        <v>62</v>
      </c>
      <c r="B60" s="4"/>
      <c r="C60" s="4"/>
      <c r="D60" s="4"/>
      <c r="E60" s="4"/>
      <c r="F60" s="4"/>
      <c r="G60" s="4"/>
      <c r="H60" s="4"/>
      <c r="I60" s="4"/>
      <c r="J60" s="5">
        <f t="shared" si="11"/>
        <v>0</v>
      </c>
      <c r="K60" s="22"/>
    </row>
    <row r="61" spans="1:11" x14ac:dyDescent="0.25">
      <c r="A61" s="3" t="s">
        <v>63</v>
      </c>
      <c r="B61" s="5">
        <f>1131.03</f>
        <v>1131.03</v>
      </c>
      <c r="C61" s="5">
        <f>1157.53</f>
        <v>1157.53</v>
      </c>
      <c r="D61" s="5">
        <f>1151.56</f>
        <v>1151.56</v>
      </c>
      <c r="E61" s="5">
        <f>1151.57</f>
        <v>1151.57</v>
      </c>
      <c r="F61" s="5">
        <f>1251.57</f>
        <v>1251.57</v>
      </c>
      <c r="G61" s="5">
        <f>1151.57</f>
        <v>1151.57</v>
      </c>
      <c r="H61" s="4">
        <v>1151.57</v>
      </c>
      <c r="I61" s="5">
        <f>1151.57</f>
        <v>1151.57</v>
      </c>
      <c r="J61" s="5">
        <f t="shared" si="11"/>
        <v>9297.9699999999993</v>
      </c>
      <c r="K61" s="13">
        <v>14000</v>
      </c>
    </row>
    <row r="62" spans="1:11" x14ac:dyDescent="0.25">
      <c r="A62" s="3" t="s">
        <v>64</v>
      </c>
      <c r="B62" s="5">
        <f>2615.62</f>
        <v>2615.62</v>
      </c>
      <c r="C62" s="5">
        <f>2777.66</f>
        <v>2777.66</v>
      </c>
      <c r="D62" s="5">
        <f>2777.66</f>
        <v>2777.66</v>
      </c>
      <c r="E62" s="5">
        <f>2777.66</f>
        <v>2777.66</v>
      </c>
      <c r="F62" s="5">
        <f>4166.49</f>
        <v>4166.49</v>
      </c>
      <c r="G62" s="5">
        <f>2777.66</f>
        <v>2777.66</v>
      </c>
      <c r="H62" s="5">
        <f>3929.23-1151.57</f>
        <v>2777.66</v>
      </c>
      <c r="I62" s="5">
        <f>2777.66</f>
        <v>2777.66</v>
      </c>
      <c r="J62" s="5">
        <f t="shared" si="11"/>
        <v>23448.07</v>
      </c>
      <c r="K62" s="13">
        <v>36110</v>
      </c>
    </row>
    <row r="63" spans="1:11" x14ac:dyDescent="0.25">
      <c r="A63" s="3" t="s">
        <v>65</v>
      </c>
      <c r="B63" s="4"/>
      <c r="C63" s="5">
        <f>112.5</f>
        <v>112.5</v>
      </c>
      <c r="D63" s="4"/>
      <c r="E63" s="4"/>
      <c r="F63" s="4"/>
      <c r="G63" s="5">
        <f>257.39</f>
        <v>257.39</v>
      </c>
      <c r="H63" s="5">
        <f>697.2</f>
        <v>697.2</v>
      </c>
      <c r="I63" s="5">
        <f>112.5</f>
        <v>112.5</v>
      </c>
      <c r="J63" s="5">
        <f t="shared" si="11"/>
        <v>1179.5900000000001</v>
      </c>
      <c r="K63" s="13">
        <v>1700</v>
      </c>
    </row>
    <row r="64" spans="1:11" x14ac:dyDescent="0.25">
      <c r="A64" s="3" t="s">
        <v>66</v>
      </c>
      <c r="B64" s="6">
        <f t="shared" ref="B64:I64" si="13">(((B60)+(B61))+(B62))+(B63)</f>
        <v>3746.6499999999996</v>
      </c>
      <c r="C64" s="6">
        <f t="shared" si="13"/>
        <v>4047.6899999999996</v>
      </c>
      <c r="D64" s="6">
        <f t="shared" si="13"/>
        <v>3929.22</v>
      </c>
      <c r="E64" s="6">
        <f t="shared" si="13"/>
        <v>3929.2299999999996</v>
      </c>
      <c r="F64" s="6">
        <f t="shared" si="13"/>
        <v>5418.0599999999995</v>
      </c>
      <c r="G64" s="6">
        <f t="shared" si="13"/>
        <v>4186.62</v>
      </c>
      <c r="H64" s="6">
        <f t="shared" si="13"/>
        <v>4626.4299999999994</v>
      </c>
      <c r="I64" s="6">
        <f t="shared" si="13"/>
        <v>4041.7299999999996</v>
      </c>
      <c r="J64" s="6">
        <f t="shared" si="11"/>
        <v>33925.629999999997</v>
      </c>
      <c r="K64" s="17">
        <v>51810</v>
      </c>
    </row>
    <row r="65" spans="1:11" x14ac:dyDescent="0.25">
      <c r="A65" s="3" t="s">
        <v>67</v>
      </c>
      <c r="B65" s="4"/>
      <c r="C65" s="4"/>
      <c r="D65" s="4"/>
      <c r="E65" s="4"/>
      <c r="F65" s="5">
        <f>25</f>
        <v>25</v>
      </c>
      <c r="G65" s="4"/>
      <c r="H65" s="4"/>
      <c r="I65" s="4"/>
      <c r="J65" s="5">
        <f t="shared" si="11"/>
        <v>25</v>
      </c>
      <c r="K65" s="21">
        <v>100</v>
      </c>
    </row>
    <row r="66" spans="1:11" x14ac:dyDescent="0.25">
      <c r="A66" s="3" t="s">
        <v>68</v>
      </c>
      <c r="B66" s="4"/>
      <c r="C66" s="4"/>
      <c r="D66" s="4"/>
      <c r="E66" s="4"/>
      <c r="F66" s="4"/>
      <c r="G66" s="4"/>
      <c r="H66" s="4"/>
      <c r="I66" s="4"/>
      <c r="J66" s="5">
        <f t="shared" si="11"/>
        <v>0</v>
      </c>
      <c r="K66" s="13">
        <v>500</v>
      </c>
    </row>
    <row r="67" spans="1:11" x14ac:dyDescent="0.25">
      <c r="A67" s="3" t="s">
        <v>69</v>
      </c>
      <c r="B67" s="5">
        <f>39.06</f>
        <v>39.06</v>
      </c>
      <c r="C67" s="5">
        <f>54.66</f>
        <v>54.66</v>
      </c>
      <c r="D67" s="5">
        <f>9.04</f>
        <v>9.0399999999999991</v>
      </c>
      <c r="E67" s="5">
        <f>53.74</f>
        <v>53.74</v>
      </c>
      <c r="F67" s="5">
        <f>72.34</f>
        <v>72.34</v>
      </c>
      <c r="G67" s="4"/>
      <c r="H67" s="5">
        <f>97.14</f>
        <v>97.14</v>
      </c>
      <c r="I67" s="5">
        <f>22.93</f>
        <v>22.93</v>
      </c>
      <c r="J67" s="5">
        <f t="shared" si="11"/>
        <v>348.91</v>
      </c>
      <c r="K67" s="13">
        <v>1250</v>
      </c>
    </row>
    <row r="68" spans="1:11" x14ac:dyDescent="0.25">
      <c r="A68" s="3" t="s">
        <v>70</v>
      </c>
      <c r="B68" s="6">
        <f t="shared" ref="B68:I68" si="14">(B66)+(B67)</f>
        <v>39.06</v>
      </c>
      <c r="C68" s="6">
        <f t="shared" si="14"/>
        <v>54.66</v>
      </c>
      <c r="D68" s="6">
        <f t="shared" si="14"/>
        <v>9.0399999999999991</v>
      </c>
      <c r="E68" s="6">
        <f t="shared" si="14"/>
        <v>53.74</v>
      </c>
      <c r="F68" s="6">
        <f t="shared" si="14"/>
        <v>72.34</v>
      </c>
      <c r="G68" s="6">
        <f t="shared" si="14"/>
        <v>0</v>
      </c>
      <c r="H68" s="6">
        <f t="shared" si="14"/>
        <v>97.14</v>
      </c>
      <c r="I68" s="6">
        <f t="shared" si="14"/>
        <v>22.93</v>
      </c>
      <c r="J68" s="6">
        <f t="shared" si="11"/>
        <v>348.91</v>
      </c>
      <c r="K68" s="19">
        <v>1750</v>
      </c>
    </row>
    <row r="69" spans="1:11" x14ac:dyDescent="0.25">
      <c r="A69" s="3" t="s">
        <v>71</v>
      </c>
      <c r="B69" s="4"/>
      <c r="C69" s="4"/>
      <c r="D69" s="4"/>
      <c r="E69" s="4"/>
      <c r="F69" s="4"/>
      <c r="G69" s="4"/>
      <c r="H69" s="4"/>
      <c r="I69" s="4"/>
      <c r="J69" s="5">
        <f t="shared" si="11"/>
        <v>0</v>
      </c>
      <c r="K69" s="13"/>
    </row>
    <row r="70" spans="1:11" x14ac:dyDescent="0.25">
      <c r="A70" s="3" t="s">
        <v>72</v>
      </c>
      <c r="B70" s="5">
        <f>1231.44</f>
        <v>1231.44</v>
      </c>
      <c r="C70" s="5">
        <f>1047.45</f>
        <v>1047.45</v>
      </c>
      <c r="D70" s="5">
        <f>922.64</f>
        <v>922.64</v>
      </c>
      <c r="E70" s="5">
        <f>914.08</f>
        <v>914.08</v>
      </c>
      <c r="F70" s="5">
        <f>429.72</f>
        <v>429.72</v>
      </c>
      <c r="G70" s="5">
        <f>282.67</f>
        <v>282.67</v>
      </c>
      <c r="H70" s="5">
        <f>237.58</f>
        <v>237.58</v>
      </c>
      <c r="I70" s="5">
        <f>235.92</f>
        <v>235.92</v>
      </c>
      <c r="J70" s="5">
        <f t="shared" si="11"/>
        <v>5301.5000000000009</v>
      </c>
      <c r="K70" s="13">
        <v>8000</v>
      </c>
    </row>
    <row r="71" spans="1:11" x14ac:dyDescent="0.25">
      <c r="A71" s="3" t="s">
        <v>73</v>
      </c>
      <c r="B71" s="5">
        <f>154.98</f>
        <v>154.97999999999999</v>
      </c>
      <c r="C71" s="5">
        <f>154.98</f>
        <v>154.97999999999999</v>
      </c>
      <c r="D71" s="5">
        <f>164.98</f>
        <v>164.98</v>
      </c>
      <c r="E71" s="5">
        <f>164.39</f>
        <v>164.39</v>
      </c>
      <c r="F71" s="5">
        <f>164.39</f>
        <v>164.39</v>
      </c>
      <c r="G71" s="5">
        <f>164.39</f>
        <v>164.39</v>
      </c>
      <c r="H71" s="5">
        <f>164.42</f>
        <v>164.42</v>
      </c>
      <c r="I71" s="5">
        <f>164.73</f>
        <v>164.73</v>
      </c>
      <c r="J71" s="5">
        <f t="shared" si="11"/>
        <v>1297.26</v>
      </c>
      <c r="K71" s="13">
        <v>1950</v>
      </c>
    </row>
    <row r="72" spans="1:11" x14ac:dyDescent="0.25">
      <c r="A72" s="3" t="s">
        <v>74</v>
      </c>
      <c r="B72" s="4"/>
      <c r="C72" s="5">
        <f>96.98</f>
        <v>96.98</v>
      </c>
      <c r="D72" s="4"/>
      <c r="E72" s="5">
        <f>166.51</f>
        <v>166.51</v>
      </c>
      <c r="F72" s="5">
        <f>92.51</f>
        <v>92.51</v>
      </c>
      <c r="G72" s="4"/>
      <c r="H72" s="5">
        <f>92.51</f>
        <v>92.51</v>
      </c>
      <c r="I72" s="4"/>
      <c r="J72" s="5">
        <f t="shared" si="11"/>
        <v>448.51</v>
      </c>
      <c r="K72" s="13">
        <v>700</v>
      </c>
    </row>
    <row r="73" spans="1:11" x14ac:dyDescent="0.25">
      <c r="A73" s="3" t="s">
        <v>75</v>
      </c>
      <c r="B73" s="6">
        <f t="shared" ref="B73:I73" si="15">(((B69)+(B70))+(B71))+(B72)</f>
        <v>1386.42</v>
      </c>
      <c r="C73" s="6">
        <f t="shared" si="15"/>
        <v>1299.4100000000001</v>
      </c>
      <c r="D73" s="6">
        <f t="shared" si="15"/>
        <v>1087.6199999999999</v>
      </c>
      <c r="E73" s="6">
        <f t="shared" si="15"/>
        <v>1244.98</v>
      </c>
      <c r="F73" s="6">
        <f t="shared" si="15"/>
        <v>686.62</v>
      </c>
      <c r="G73" s="6">
        <f t="shared" si="15"/>
        <v>447.06</v>
      </c>
      <c r="H73" s="6">
        <f t="shared" si="15"/>
        <v>494.51</v>
      </c>
      <c r="I73" s="6">
        <f t="shared" si="15"/>
        <v>400.65</v>
      </c>
      <c r="J73" s="6">
        <f t="shared" si="11"/>
        <v>7047.27</v>
      </c>
      <c r="K73" s="17">
        <v>10650</v>
      </c>
    </row>
    <row r="74" spans="1:11" x14ac:dyDescent="0.25">
      <c r="A74" s="3" t="s">
        <v>76</v>
      </c>
      <c r="B74" s="4"/>
      <c r="C74" s="4"/>
      <c r="D74" s="4"/>
      <c r="E74" s="4"/>
      <c r="F74" s="4"/>
      <c r="G74" s="4"/>
      <c r="H74" s="4"/>
      <c r="I74" s="4"/>
      <c r="J74" s="5">
        <f t="shared" si="11"/>
        <v>0</v>
      </c>
      <c r="K74" s="13"/>
    </row>
    <row r="75" spans="1:11" x14ac:dyDescent="0.25">
      <c r="A75" s="3" t="s">
        <v>77</v>
      </c>
      <c r="B75" s="5">
        <f>159.36</f>
        <v>159.36000000000001</v>
      </c>
      <c r="C75" s="4"/>
      <c r="D75" s="4"/>
      <c r="E75" s="5">
        <f>187.81</f>
        <v>187.81</v>
      </c>
      <c r="F75" s="4"/>
      <c r="G75" s="4"/>
      <c r="H75" s="4"/>
      <c r="I75" s="4"/>
      <c r="J75" s="5">
        <f t="shared" si="11"/>
        <v>347.17</v>
      </c>
      <c r="K75" s="13">
        <v>300</v>
      </c>
    </row>
    <row r="76" spans="1:11" x14ac:dyDescent="0.25">
      <c r="A76" s="3" t="s">
        <v>78</v>
      </c>
      <c r="B76" s="4"/>
      <c r="C76" s="4"/>
      <c r="D76" s="5">
        <f>153</f>
        <v>153</v>
      </c>
      <c r="E76" s="4"/>
      <c r="F76" s="4"/>
      <c r="G76" s="5">
        <f>178</f>
        <v>178</v>
      </c>
      <c r="H76" s="5">
        <f>292.9</f>
        <v>292.89999999999998</v>
      </c>
      <c r="I76" s="5">
        <f>89</f>
        <v>89</v>
      </c>
      <c r="J76" s="5">
        <f t="shared" si="11"/>
        <v>712.9</v>
      </c>
      <c r="K76" s="13"/>
    </row>
    <row r="77" spans="1:11" x14ac:dyDescent="0.25">
      <c r="A77" s="3" t="s">
        <v>79</v>
      </c>
      <c r="B77" s="4"/>
      <c r="C77" s="4"/>
      <c r="D77" s="5">
        <f>197.06</f>
        <v>197.06</v>
      </c>
      <c r="E77" s="5">
        <f>134.57</f>
        <v>134.57</v>
      </c>
      <c r="F77" s="4"/>
      <c r="G77" s="4"/>
      <c r="H77" s="4"/>
      <c r="I77" s="5">
        <f>134.56</f>
        <v>134.56</v>
      </c>
      <c r="J77" s="5">
        <f t="shared" si="11"/>
        <v>466.19</v>
      </c>
      <c r="K77" s="13">
        <v>1000</v>
      </c>
    </row>
    <row r="78" spans="1:11" x14ac:dyDescent="0.25">
      <c r="A78" s="3" t="s">
        <v>80</v>
      </c>
      <c r="B78" s="5">
        <f>12.64</f>
        <v>12.64</v>
      </c>
      <c r="C78" s="5">
        <f>36.22</f>
        <v>36.22</v>
      </c>
      <c r="D78" s="5">
        <f>325.08</f>
        <v>325.08</v>
      </c>
      <c r="E78" s="5">
        <f>50</f>
        <v>50</v>
      </c>
      <c r="F78" s="5">
        <f>85.16</f>
        <v>85.16</v>
      </c>
      <c r="G78" s="5">
        <f>2.38</f>
        <v>2.38</v>
      </c>
      <c r="H78" s="5">
        <f>84.15</f>
        <v>84.15</v>
      </c>
      <c r="I78" s="5">
        <f>72</f>
        <v>72</v>
      </c>
      <c r="J78" s="5">
        <f t="shared" si="11"/>
        <v>667.63</v>
      </c>
      <c r="K78" s="13">
        <v>2500</v>
      </c>
    </row>
    <row r="79" spans="1:11" x14ac:dyDescent="0.25">
      <c r="A79" s="3" t="s">
        <v>81</v>
      </c>
      <c r="B79" s="6">
        <f t="shared" ref="B79:I79" si="16">((((B74)+(B75))+(B76))+(B77))+(B78)</f>
        <v>172</v>
      </c>
      <c r="C79" s="6">
        <f t="shared" si="16"/>
        <v>36.22</v>
      </c>
      <c r="D79" s="6">
        <f t="shared" si="16"/>
        <v>675.14</v>
      </c>
      <c r="E79" s="6">
        <f t="shared" si="16"/>
        <v>372.38</v>
      </c>
      <c r="F79" s="6">
        <f t="shared" si="16"/>
        <v>85.16</v>
      </c>
      <c r="G79" s="6">
        <f t="shared" si="16"/>
        <v>180.38</v>
      </c>
      <c r="H79" s="6">
        <f t="shared" si="16"/>
        <v>377.04999999999995</v>
      </c>
      <c r="I79" s="6">
        <f t="shared" si="16"/>
        <v>295.56</v>
      </c>
      <c r="J79" s="6">
        <f t="shared" si="11"/>
        <v>2193.8900000000003</v>
      </c>
      <c r="K79" s="24">
        <v>3800</v>
      </c>
    </row>
    <row r="80" spans="1:11" x14ac:dyDescent="0.25">
      <c r="A80" s="3" t="s">
        <v>82</v>
      </c>
      <c r="B80" s="6">
        <f t="shared" ref="B80:I80" si="17">(((((((((((((((((B26)+(B30))+(B31))+(B37))+(B38))+(B39))+(B40))+(B44))+(B45))+(B46))+(B49))+(B56))+(B59))+(B64))+(B65))+(B68))+(B73))+(B79)</f>
        <v>13788.789999999999</v>
      </c>
      <c r="C80" s="6">
        <f t="shared" si="17"/>
        <v>8478.3499999999985</v>
      </c>
      <c r="D80" s="6">
        <f t="shared" si="17"/>
        <v>9915.31</v>
      </c>
      <c r="E80" s="6">
        <f t="shared" si="17"/>
        <v>10816.759999999998</v>
      </c>
      <c r="F80" s="6">
        <f t="shared" si="17"/>
        <v>12859.7</v>
      </c>
      <c r="G80" s="6">
        <f t="shared" si="17"/>
        <v>21748.510000000002</v>
      </c>
      <c r="H80" s="6">
        <f t="shared" si="17"/>
        <v>8913.869999999999</v>
      </c>
      <c r="I80" s="6">
        <f t="shared" si="17"/>
        <v>7060.2</v>
      </c>
      <c r="J80" s="6">
        <f t="shared" si="11"/>
        <v>93581.489999999976</v>
      </c>
      <c r="K80" s="25">
        <v>137710</v>
      </c>
    </row>
    <row r="81" spans="1:11" x14ac:dyDescent="0.25">
      <c r="A81" s="3" t="s">
        <v>83</v>
      </c>
      <c r="B81" s="6">
        <f t="shared" ref="B81:I81" si="18">(B24)-(B80)</f>
        <v>-4778.0999999999985</v>
      </c>
      <c r="C81" s="6">
        <f t="shared" si="18"/>
        <v>17606.650000000001</v>
      </c>
      <c r="D81" s="6">
        <f t="shared" si="18"/>
        <v>-1417.83</v>
      </c>
      <c r="E81" s="6">
        <f t="shared" si="18"/>
        <v>-4341.2599999999984</v>
      </c>
      <c r="F81" s="6">
        <f t="shared" si="18"/>
        <v>-967.01000000000204</v>
      </c>
      <c r="G81" s="6">
        <f t="shared" si="18"/>
        <v>-8524.9100000000017</v>
      </c>
      <c r="H81" s="6">
        <f t="shared" si="18"/>
        <v>10246.030000000002</v>
      </c>
      <c r="I81" s="6">
        <f t="shared" si="18"/>
        <v>1228.5600000000004</v>
      </c>
      <c r="J81" s="6">
        <f t="shared" si="11"/>
        <v>9052.1300000000047</v>
      </c>
      <c r="K81" s="26">
        <v>-21910</v>
      </c>
    </row>
    <row r="82" spans="1:11" x14ac:dyDescent="0.25">
      <c r="A82" s="3" t="s">
        <v>84</v>
      </c>
      <c r="B82" s="7">
        <f t="shared" ref="B82:I82" si="19">(B81)+(0)</f>
        <v>-4778.0999999999985</v>
      </c>
      <c r="C82" s="7">
        <f t="shared" si="19"/>
        <v>17606.650000000001</v>
      </c>
      <c r="D82" s="7">
        <f t="shared" si="19"/>
        <v>-1417.83</v>
      </c>
      <c r="E82" s="7">
        <f t="shared" si="19"/>
        <v>-4341.2599999999984</v>
      </c>
      <c r="F82" s="7">
        <f t="shared" si="19"/>
        <v>-967.01000000000204</v>
      </c>
      <c r="G82" s="7">
        <f t="shared" si="19"/>
        <v>-8524.9100000000017</v>
      </c>
      <c r="H82" s="7">
        <f t="shared" si="19"/>
        <v>10246.030000000002</v>
      </c>
      <c r="I82" s="7">
        <f t="shared" si="19"/>
        <v>1228.5600000000004</v>
      </c>
      <c r="J82" s="7">
        <f t="shared" si="11"/>
        <v>9052.1300000000047</v>
      </c>
      <c r="K82" s="26">
        <v>-21910</v>
      </c>
    </row>
    <row r="83" spans="1:11" x14ac:dyDescent="0.25">
      <c r="A83" s="3"/>
      <c r="B83" s="4"/>
      <c r="C83" s="4"/>
      <c r="D83" s="4"/>
      <c r="E83" s="4"/>
      <c r="F83" s="4"/>
      <c r="G83" s="4"/>
      <c r="H83" s="4"/>
      <c r="I83" s="4"/>
      <c r="J83" s="4"/>
      <c r="K83" s="13"/>
    </row>
    <row r="84" spans="1:11" x14ac:dyDescent="0.25">
      <c r="K84" s="13"/>
    </row>
    <row r="85" spans="1:11" x14ac:dyDescent="0.25">
      <c r="K85" s="13"/>
    </row>
    <row r="86" spans="1:11" x14ac:dyDescent="0.25">
      <c r="A86" s="8" t="s">
        <v>85</v>
      </c>
      <c r="B86" s="9"/>
      <c r="C86" s="9"/>
      <c r="D86" s="9"/>
      <c r="E86" s="9"/>
      <c r="F86" s="9"/>
      <c r="G86" s="9"/>
      <c r="H86" s="9"/>
      <c r="I86" s="9"/>
      <c r="J86" s="9"/>
      <c r="K86" s="13"/>
    </row>
    <row r="87" spans="1:11" x14ac:dyDescent="0.25">
      <c r="K87" s="13"/>
    </row>
    <row r="88" spans="1:11" x14ac:dyDescent="0.25">
      <c r="K88" s="13"/>
    </row>
    <row r="89" spans="1:11" x14ac:dyDescent="0.25">
      <c r="K89" s="13"/>
    </row>
  </sheetData>
  <mergeCells count="4">
    <mergeCell ref="A86:J86"/>
    <mergeCell ref="A1:J1"/>
    <mergeCell ref="A2:J2"/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Statement of Activity by Month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Frederick Walls</cp:lastModifiedBy>
  <dcterms:created xsi:type="dcterms:W3CDTF">2023-09-19T23:50:16Z</dcterms:created>
  <dcterms:modified xsi:type="dcterms:W3CDTF">2023-09-19T23:56:41Z</dcterms:modified>
</cp:coreProperties>
</file>